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redstreake/Dropbox/UAH WORK/UAH 2015/websites/AL CLIMATE REPORT 2012/blue/html/2023/july2023/"/>
    </mc:Choice>
  </mc:AlternateContent>
  <xr:revisionPtr revIDLastSave="0" documentId="13_ncr:1_{59E20AF7-7809-5844-885D-55CA5EE12596}" xr6:coauthVersionLast="47" xr6:coauthVersionMax="47" xr10:uidLastSave="{00000000-0000-0000-0000-000000000000}"/>
  <bookViews>
    <workbookView xWindow="0" yWindow="500" windowWidth="51200" windowHeight="27320" xr2:uid="{00000000-000D-0000-FFFF-FFFF00000000}"/>
  </bookViews>
  <sheets>
    <sheet name="CoCoRAHS January 2022" sheetId="1" r:id="rId1"/>
    <sheet name="CoCoRAHS_February 2023" sheetId="2" r:id="rId2"/>
    <sheet name="CoCoRAHS_March 2023" sheetId="3" r:id="rId3"/>
    <sheet name="CoCoRAHS_April 2023" sheetId="4" r:id="rId4"/>
    <sheet name="CoCoRAHS_May 2023" sheetId="5" r:id="rId5"/>
    <sheet name="CoCoRAHS_June 2023" sheetId="6" r:id="rId6"/>
    <sheet name="CoCoRAHS_July 2023" sheetId="7" r:id="rId7"/>
    <sheet name="CoCoRAHS_August_2022" sheetId="8" r:id="rId8"/>
    <sheet name="CoCoRAHS_September 2022" sheetId="9" r:id="rId9"/>
    <sheet name="CoCoRAHS_October_2022" sheetId="10" r:id="rId10"/>
    <sheet name="CoCoRAHS_November_2022" sheetId="11" r:id="rId11"/>
    <sheet name="CoCoRAHS_December_2022" sheetId="12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6" roundtripDataChecksum="aNqw0xKXujvYAF6vEATxg+iSlD4bFbmg/B2Oy+pOUrQ="/>
    </ext>
  </extLst>
</workbook>
</file>

<file path=xl/calcChain.xml><?xml version="1.0" encoding="utf-8"?>
<calcChain xmlns="http://schemas.openxmlformats.org/spreadsheetml/2006/main">
  <c r="F36" i="12" l="1"/>
  <c r="F35" i="12"/>
  <c r="F33" i="12"/>
  <c r="F32" i="12"/>
  <c r="F30" i="12"/>
  <c r="B30" i="12"/>
  <c r="B29" i="12"/>
  <c r="F28" i="12"/>
  <c r="B28" i="12"/>
  <c r="F27" i="12"/>
  <c r="F26" i="12"/>
  <c r="B25" i="12"/>
  <c r="F21" i="12"/>
  <c r="F20" i="12"/>
  <c r="B20" i="12"/>
  <c r="F19" i="12"/>
  <c r="F18" i="12"/>
  <c r="F17" i="12"/>
  <c r="B16" i="12"/>
  <c r="F14" i="12"/>
  <c r="F11" i="12"/>
  <c r="B11" i="12"/>
  <c r="F10" i="12"/>
  <c r="F9" i="12"/>
  <c r="F8" i="12"/>
  <c r="B8" i="12"/>
  <c r="F6" i="12"/>
  <c r="F5" i="12"/>
  <c r="B5" i="12"/>
  <c r="F4" i="12"/>
  <c r="B4" i="12"/>
  <c r="F36" i="11"/>
  <c r="F35" i="11"/>
  <c r="F33" i="11"/>
  <c r="F32" i="11"/>
  <c r="B31" i="11"/>
  <c r="F30" i="11"/>
  <c r="B30" i="11"/>
  <c r="B29" i="11"/>
  <c r="F28" i="11"/>
  <c r="B28" i="11"/>
  <c r="F27" i="11"/>
  <c r="F26" i="11"/>
  <c r="B25" i="11"/>
  <c r="F21" i="11"/>
  <c r="F20" i="11"/>
  <c r="B20" i="11"/>
  <c r="F19" i="11"/>
  <c r="F18" i="11"/>
  <c r="F17" i="11"/>
  <c r="B16" i="11"/>
  <c r="F14" i="11"/>
  <c r="F11" i="11"/>
  <c r="B11" i="11"/>
  <c r="F10" i="11"/>
  <c r="F9" i="11"/>
  <c r="F8" i="11"/>
  <c r="B8" i="11"/>
  <c r="F6" i="11"/>
  <c r="F5" i="11"/>
  <c r="B5" i="11"/>
  <c r="F4" i="11"/>
  <c r="B4" i="11"/>
  <c r="F36" i="10"/>
  <c r="F35" i="10"/>
  <c r="F33" i="10"/>
  <c r="F32" i="10"/>
  <c r="F30" i="10"/>
  <c r="B30" i="10"/>
  <c r="B29" i="10"/>
  <c r="F28" i="10"/>
  <c r="B28" i="10"/>
  <c r="F27" i="10"/>
  <c r="F26" i="10"/>
  <c r="B25" i="10"/>
  <c r="F21" i="10"/>
  <c r="F20" i="10"/>
  <c r="B20" i="10"/>
  <c r="F19" i="10"/>
  <c r="F18" i="10"/>
  <c r="F17" i="10"/>
  <c r="B16" i="10"/>
  <c r="F14" i="10"/>
  <c r="F11" i="10"/>
  <c r="B11" i="10"/>
  <c r="F10" i="10"/>
  <c r="F9" i="10"/>
  <c r="F8" i="10"/>
  <c r="B8" i="10"/>
  <c r="F6" i="10"/>
  <c r="F5" i="10"/>
  <c r="B5" i="10"/>
  <c r="F4" i="10"/>
  <c r="B4" i="10"/>
  <c r="F36" i="9"/>
  <c r="F35" i="9"/>
  <c r="F33" i="9"/>
  <c r="F32" i="9"/>
  <c r="B31" i="9"/>
  <c r="F30" i="9"/>
  <c r="B30" i="9"/>
  <c r="B29" i="9"/>
  <c r="F28" i="9"/>
  <c r="B28" i="9"/>
  <c r="F27" i="9"/>
  <c r="F26" i="9"/>
  <c r="B25" i="9"/>
  <c r="F21" i="9"/>
  <c r="F20" i="9"/>
  <c r="B20" i="9"/>
  <c r="F19" i="9"/>
  <c r="F18" i="9"/>
  <c r="F17" i="9"/>
  <c r="B16" i="9"/>
  <c r="F14" i="9"/>
  <c r="F11" i="9"/>
  <c r="B11" i="9"/>
  <c r="F10" i="9"/>
  <c r="F9" i="9"/>
  <c r="F8" i="9"/>
  <c r="B8" i="9"/>
  <c r="F6" i="9"/>
  <c r="F5" i="9"/>
  <c r="B5" i="9"/>
  <c r="F4" i="9"/>
  <c r="B4" i="9"/>
  <c r="F36" i="8"/>
  <c r="F35" i="8"/>
  <c r="F33" i="8"/>
  <c r="F32" i="8"/>
  <c r="B31" i="8"/>
  <c r="F30" i="8"/>
  <c r="B30" i="8"/>
  <c r="B29" i="8"/>
  <c r="F28" i="8"/>
  <c r="B28" i="8"/>
  <c r="F27" i="8"/>
  <c r="F26" i="8"/>
  <c r="B25" i="8"/>
  <c r="F21" i="8"/>
  <c r="F20" i="8"/>
  <c r="B20" i="8"/>
  <c r="F19" i="8"/>
  <c r="F18" i="8"/>
  <c r="F17" i="8"/>
  <c r="B16" i="8"/>
  <c r="F14" i="8"/>
  <c r="F11" i="8"/>
  <c r="B11" i="8"/>
  <c r="F10" i="8"/>
  <c r="F9" i="8"/>
  <c r="F8" i="8"/>
  <c r="B8" i="8"/>
  <c r="F6" i="8"/>
  <c r="F5" i="8"/>
  <c r="B5" i="8"/>
  <c r="F4" i="8"/>
  <c r="B4" i="8"/>
  <c r="F36" i="7"/>
  <c r="F35" i="7"/>
  <c r="F33" i="7"/>
  <c r="F32" i="7"/>
  <c r="F31" i="7"/>
  <c r="B31" i="7"/>
  <c r="F30" i="7"/>
  <c r="B30" i="7"/>
  <c r="B29" i="7"/>
  <c r="F28" i="7"/>
  <c r="B28" i="7"/>
  <c r="F27" i="7"/>
  <c r="F25" i="7"/>
  <c r="B25" i="7"/>
  <c r="F21" i="7"/>
  <c r="F20" i="7"/>
  <c r="B20" i="7"/>
  <c r="F19" i="7"/>
  <c r="F18" i="7"/>
  <c r="F17" i="7"/>
  <c r="B16" i="7"/>
  <c r="F14" i="7"/>
  <c r="F11" i="7"/>
  <c r="B11" i="7"/>
  <c r="F10" i="7"/>
  <c r="F9" i="7"/>
  <c r="F8" i="7"/>
  <c r="B8" i="7"/>
  <c r="F6" i="7"/>
  <c r="B6" i="7"/>
  <c r="F5" i="7"/>
  <c r="B5" i="7"/>
  <c r="F4" i="7"/>
  <c r="B4" i="7"/>
  <c r="F36" i="6"/>
  <c r="F35" i="6"/>
  <c r="F33" i="6"/>
  <c r="F32" i="6"/>
  <c r="F31" i="6"/>
  <c r="B31" i="6"/>
  <c r="F30" i="6"/>
  <c r="B30" i="6"/>
  <c r="B29" i="6"/>
  <c r="F28" i="6"/>
  <c r="B28" i="6"/>
  <c r="F27" i="6"/>
  <c r="F25" i="6"/>
  <c r="B25" i="6"/>
  <c r="F21" i="6"/>
  <c r="F20" i="6"/>
  <c r="B20" i="6"/>
  <c r="F19" i="6"/>
  <c r="F18" i="6"/>
  <c r="F17" i="6"/>
  <c r="B16" i="6"/>
  <c r="F14" i="6"/>
  <c r="F11" i="6"/>
  <c r="B11" i="6"/>
  <c r="F10" i="6"/>
  <c r="F9" i="6"/>
  <c r="F8" i="6"/>
  <c r="B8" i="6"/>
  <c r="F6" i="6"/>
  <c r="B6" i="6"/>
  <c r="F5" i="6"/>
  <c r="B5" i="6"/>
  <c r="F4" i="6"/>
  <c r="F36" i="5"/>
  <c r="F35" i="5"/>
  <c r="F33" i="5"/>
  <c r="F32" i="5"/>
  <c r="F31" i="5"/>
  <c r="B31" i="5"/>
  <c r="F30" i="5"/>
  <c r="B30" i="5"/>
  <c r="B29" i="5"/>
  <c r="F28" i="5"/>
  <c r="B28" i="5"/>
  <c r="F27" i="5"/>
  <c r="F25" i="5"/>
  <c r="B25" i="5"/>
  <c r="F21" i="5"/>
  <c r="F20" i="5"/>
  <c r="B20" i="5"/>
  <c r="F19" i="5"/>
  <c r="F18" i="5"/>
  <c r="F17" i="5"/>
  <c r="B16" i="5"/>
  <c r="F14" i="5"/>
  <c r="F11" i="5"/>
  <c r="B11" i="5"/>
  <c r="F10" i="5"/>
  <c r="B10" i="5"/>
  <c r="F9" i="5"/>
  <c r="F8" i="5"/>
  <c r="B8" i="5"/>
  <c r="F6" i="5"/>
  <c r="B6" i="5"/>
  <c r="F5" i="5"/>
  <c r="B5" i="5"/>
  <c r="F4" i="5"/>
  <c r="F36" i="4"/>
  <c r="F35" i="4"/>
  <c r="F33" i="4"/>
  <c r="F32" i="4"/>
  <c r="F31" i="4"/>
  <c r="F30" i="4"/>
  <c r="B30" i="4"/>
  <c r="B29" i="4"/>
  <c r="F28" i="4"/>
  <c r="B28" i="4"/>
  <c r="F27" i="4"/>
  <c r="B25" i="4"/>
  <c r="F21" i="4"/>
  <c r="F20" i="4"/>
  <c r="B20" i="4"/>
  <c r="F19" i="4"/>
  <c r="F18" i="4"/>
  <c r="F17" i="4"/>
  <c r="B16" i="4"/>
  <c r="F14" i="4"/>
  <c r="F11" i="4"/>
  <c r="B11" i="4"/>
  <c r="F10" i="4"/>
  <c r="F9" i="4"/>
  <c r="F8" i="4"/>
  <c r="B8" i="4"/>
  <c r="F6" i="4"/>
  <c r="F5" i="4"/>
  <c r="B5" i="4"/>
  <c r="F4" i="4"/>
  <c r="F36" i="3"/>
  <c r="F35" i="3"/>
  <c r="F33" i="3"/>
  <c r="F32" i="3"/>
  <c r="F31" i="3"/>
  <c r="B31" i="3"/>
  <c r="F30" i="3"/>
  <c r="B30" i="3"/>
  <c r="B29" i="3"/>
  <c r="F28" i="3"/>
  <c r="B28" i="3"/>
  <c r="F27" i="3"/>
  <c r="B27" i="3"/>
  <c r="F26" i="3"/>
  <c r="B25" i="3"/>
  <c r="F21" i="3"/>
  <c r="F20" i="3"/>
  <c r="B20" i="3"/>
  <c r="F19" i="3"/>
  <c r="F18" i="3"/>
  <c r="F17" i="3"/>
  <c r="B16" i="3"/>
  <c r="F14" i="3"/>
  <c r="F11" i="3"/>
  <c r="B11" i="3"/>
  <c r="F10" i="3"/>
  <c r="F9" i="3"/>
  <c r="F8" i="3"/>
  <c r="B8" i="3"/>
  <c r="F6" i="3"/>
  <c r="B6" i="3"/>
  <c r="F5" i="3"/>
  <c r="B5" i="3"/>
  <c r="F4" i="3"/>
  <c r="F36" i="2"/>
  <c r="F35" i="2"/>
  <c r="F33" i="2"/>
  <c r="F32" i="2"/>
  <c r="B31" i="2"/>
  <c r="F30" i="2"/>
  <c r="B30" i="2"/>
  <c r="B29" i="2"/>
  <c r="F28" i="2"/>
  <c r="B28" i="2"/>
  <c r="F27" i="2"/>
  <c r="F26" i="2"/>
  <c r="B25" i="2"/>
  <c r="F21" i="2"/>
  <c r="F20" i="2"/>
  <c r="B20" i="2"/>
  <c r="F19" i="2"/>
  <c r="F18" i="2"/>
  <c r="F17" i="2"/>
  <c r="B16" i="2"/>
  <c r="F14" i="2"/>
  <c r="F11" i="2"/>
  <c r="B11" i="2"/>
  <c r="F10" i="2"/>
  <c r="F9" i="2"/>
  <c r="F8" i="2"/>
  <c r="B8" i="2"/>
  <c r="F6" i="2"/>
  <c r="B6" i="2"/>
  <c r="F5" i="2"/>
  <c r="B5" i="2"/>
  <c r="F4" i="2"/>
  <c r="B4" i="2"/>
  <c r="F36" i="1"/>
  <c r="F35" i="1"/>
  <c r="F32" i="1"/>
  <c r="B31" i="1"/>
  <c r="F30" i="1"/>
  <c r="B29" i="1"/>
  <c r="F28" i="1"/>
  <c r="B28" i="1"/>
  <c r="F27" i="1"/>
  <c r="F26" i="1"/>
  <c r="B25" i="1"/>
  <c r="F21" i="1"/>
  <c r="F20" i="1"/>
  <c r="B20" i="1"/>
  <c r="F19" i="1"/>
  <c r="F18" i="1"/>
  <c r="F17" i="1"/>
  <c r="B16" i="1"/>
  <c r="F14" i="1"/>
  <c r="F11" i="1"/>
  <c r="B11" i="1"/>
  <c r="F10" i="1"/>
  <c r="F9" i="1"/>
  <c r="F8" i="1"/>
  <c r="B8" i="1"/>
  <c r="F6" i="1"/>
  <c r="F5" i="1"/>
  <c r="B5" i="1"/>
  <c r="F4" i="1"/>
  <c r="B4" i="1"/>
</calcChain>
</file>

<file path=xl/sharedStrings.xml><?xml version="1.0" encoding="utf-8"?>
<sst xmlns="http://schemas.openxmlformats.org/spreadsheetml/2006/main" count="1656" uniqueCount="135">
  <si>
    <t xml:space="preserve">            Community Collaborative Rain, Hail and Snow Network (CoCoRAHS)</t>
  </si>
  <si>
    <t>January 2022</t>
  </si>
  <si>
    <t>Ave. Total Precip.</t>
  </si>
  <si>
    <t># Stations</t>
  </si>
  <si>
    <t>Autauga</t>
  </si>
  <si>
    <t>Houston</t>
  </si>
  <si>
    <t>Normal January Precipitation*</t>
  </si>
  <si>
    <t>Baldwin</t>
  </si>
  <si>
    <t>Jackson</t>
  </si>
  <si>
    <t>Abbeville</t>
  </si>
  <si>
    <t>Barbour</t>
  </si>
  <si>
    <t>Jefferson</t>
  </si>
  <si>
    <t>Alberta</t>
  </si>
  <si>
    <t xml:space="preserve">Bibb </t>
  </si>
  <si>
    <t>n.a.</t>
  </si>
  <si>
    <t>Lamar</t>
  </si>
  <si>
    <t>Alex City</t>
  </si>
  <si>
    <t xml:space="preserve">Blount </t>
  </si>
  <si>
    <t>Lauderdale</t>
  </si>
  <si>
    <t>Aliceville</t>
  </si>
  <si>
    <t>Bullock</t>
  </si>
  <si>
    <t>Lawrence</t>
  </si>
  <si>
    <t>Andalusia</t>
  </si>
  <si>
    <t>Butler</t>
  </si>
  <si>
    <t>Lee</t>
  </si>
  <si>
    <t>Ashland</t>
  </si>
  <si>
    <t>Calhoun</t>
  </si>
  <si>
    <t>Limestone</t>
  </si>
  <si>
    <t>Athens</t>
  </si>
  <si>
    <t>Chambers</t>
  </si>
  <si>
    <t>Lowndes</t>
  </si>
  <si>
    <t>n.a</t>
  </si>
  <si>
    <t>Bay Minette</t>
  </si>
  <si>
    <t>Cherokee</t>
  </si>
  <si>
    <t>Macon</t>
  </si>
  <si>
    <t>Bessemer</t>
  </si>
  <si>
    <t>Chilton</t>
  </si>
  <si>
    <t>Madison</t>
  </si>
  <si>
    <t>Billingsly</t>
  </si>
  <si>
    <t>Choctaw</t>
  </si>
  <si>
    <t>Marengo</t>
  </si>
  <si>
    <t>Centreville WSMO</t>
  </si>
  <si>
    <t>Clarke</t>
  </si>
  <si>
    <t>Marion</t>
  </si>
  <si>
    <t>Chatom</t>
  </si>
  <si>
    <t>Clay</t>
  </si>
  <si>
    <t>Marshall</t>
  </si>
  <si>
    <t>Claiborne L&amp;D</t>
  </si>
  <si>
    <t>Cleburne</t>
  </si>
  <si>
    <t>Mobile</t>
  </si>
  <si>
    <t>Clayton</t>
  </si>
  <si>
    <t>Coffee</t>
  </si>
  <si>
    <t>Monroe</t>
  </si>
  <si>
    <t>Dauphin Isl.</t>
  </si>
  <si>
    <t>Colbert</t>
  </si>
  <si>
    <t>Montgomery</t>
  </si>
  <si>
    <t>Elba</t>
  </si>
  <si>
    <t>Conecuh</t>
  </si>
  <si>
    <t>Morgan</t>
  </si>
  <si>
    <t>Eufaula WR</t>
  </si>
  <si>
    <t>Coosa</t>
  </si>
  <si>
    <t>Perry</t>
  </si>
  <si>
    <t>Evergreen</t>
  </si>
  <si>
    <t xml:space="preserve">Covington </t>
  </si>
  <si>
    <t>Pickens</t>
  </si>
  <si>
    <t>Fayette</t>
  </si>
  <si>
    <t>Crenshaw</t>
  </si>
  <si>
    <t>Pike</t>
  </si>
  <si>
    <t>Geneva 2</t>
  </si>
  <si>
    <t>Cullman</t>
  </si>
  <si>
    <t>Randolph</t>
  </si>
  <si>
    <t>Greenville</t>
  </si>
  <si>
    <t>Dale</t>
  </si>
  <si>
    <t>Russell</t>
  </si>
  <si>
    <t>Haleyville</t>
  </si>
  <si>
    <t>Dallas</t>
  </si>
  <si>
    <t>St. Clair</t>
  </si>
  <si>
    <t>Hamilton 3S</t>
  </si>
  <si>
    <t>DeKalb</t>
  </si>
  <si>
    <t>Shelby</t>
  </si>
  <si>
    <t>Heflin</t>
  </si>
  <si>
    <t>Elmore</t>
  </si>
  <si>
    <t>Sumter</t>
  </si>
  <si>
    <t>Hurtsboro</t>
  </si>
  <si>
    <t>Escambia</t>
  </si>
  <si>
    <t>Talladega</t>
  </si>
  <si>
    <t>Jasper</t>
  </si>
  <si>
    <t>Etowah</t>
  </si>
  <si>
    <t>Tallapoosa</t>
  </si>
  <si>
    <t>Lafayette</t>
  </si>
  <si>
    <t>Tuscaloosa</t>
  </si>
  <si>
    <t>Livingston</t>
  </si>
  <si>
    <t>Franklin</t>
  </si>
  <si>
    <t>Walker</t>
  </si>
  <si>
    <t>Melvin</t>
  </si>
  <si>
    <t>Geneva</t>
  </si>
  <si>
    <t>Washington</t>
  </si>
  <si>
    <t>Milstead</t>
  </si>
  <si>
    <t>Greene</t>
  </si>
  <si>
    <t>Wilcox</t>
  </si>
  <si>
    <t>Moulton</t>
  </si>
  <si>
    <t>Hale</t>
  </si>
  <si>
    <t>Winston</t>
  </si>
  <si>
    <t>Oneonta</t>
  </si>
  <si>
    <t>Henry</t>
  </si>
  <si>
    <t>Perryville</t>
  </si>
  <si>
    <t>Plantersville</t>
  </si>
  <si>
    <t>Rock Mills</t>
  </si>
  <si>
    <t>Rockford</t>
  </si>
  <si>
    <t>Sylacauga</t>
  </si>
  <si>
    <t>Union Springs</t>
  </si>
  <si>
    <t>Uniontown</t>
  </si>
  <si>
    <t>Vernon</t>
  </si>
  <si>
    <t>Warrior L&amp;D</t>
  </si>
  <si>
    <t>Wetumpka</t>
  </si>
  <si>
    <t>February 2023</t>
  </si>
  <si>
    <t>Normal February Precipitation*</t>
  </si>
  <si>
    <t>March 2023</t>
  </si>
  <si>
    <t>Normal March Precipitation*</t>
  </si>
  <si>
    <t>April 2023</t>
  </si>
  <si>
    <t>May 2023</t>
  </si>
  <si>
    <t>Normal May Precipitation*</t>
  </si>
  <si>
    <t>June 2023</t>
  </si>
  <si>
    <t>Normal June Precipitation*</t>
  </si>
  <si>
    <t>July 2023</t>
  </si>
  <si>
    <t>Normal July Precipitation*</t>
  </si>
  <si>
    <t>August 2022</t>
  </si>
  <si>
    <t>Normal August Precipitation*</t>
  </si>
  <si>
    <t>September 2022</t>
  </si>
  <si>
    <t>Normal Precipitation*</t>
  </si>
  <si>
    <t>October 2022</t>
  </si>
  <si>
    <t>November 2022</t>
  </si>
  <si>
    <t>Normal November Precipitation*</t>
  </si>
  <si>
    <t>December 2022</t>
  </si>
  <si>
    <t>Normal December Precipitation*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</si>
</sst>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rgb="FF000000"/>
      <name val="Calibri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i/>
      <sz val="11"/>
      <color rgb="FF000000"/>
      <name val="Calibri"/>
      <family val="2"/>
    </font>
    <font>
      <sz val="11"/>
      <name val="Calibri"/>
      <family val="2"/>
    </font>
    <font>
      <b/>
      <sz val="11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ADDB6"/>
        <bgColor rgb="FFFADDB6"/>
      </patternFill>
    </fill>
    <fill>
      <patternFill patternType="solid">
        <fgColor theme="0"/>
        <bgColor theme="0"/>
      </patternFill>
    </fill>
    <fill>
      <patternFill patternType="solid">
        <fgColor rgb="FFFBD4B4"/>
        <bgColor rgb="FFFBD4B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right" wrapText="1"/>
    </xf>
    <xf numFmtId="2" fontId="1" fillId="0" borderId="0" xfId="0" applyNumberFormat="1" applyFont="1" applyAlignment="1">
      <alignment horizontal="center" wrapText="1"/>
    </xf>
    <xf numFmtId="0" fontId="2" fillId="0" borderId="0" xfId="0" applyFont="1"/>
    <xf numFmtId="2" fontId="1" fillId="0" borderId="1" xfId="0" applyNumberFormat="1" applyFont="1" applyBorder="1" applyAlignment="1">
      <alignment horizontal="right"/>
    </xf>
    <xf numFmtId="0" fontId="1" fillId="0" borderId="1" xfId="0" applyFont="1" applyBorder="1"/>
    <xf numFmtId="2" fontId="1" fillId="0" borderId="1" xfId="0" applyNumberFormat="1" applyFont="1" applyBorder="1"/>
    <xf numFmtId="0" fontId="1" fillId="0" borderId="0" xfId="0" applyFont="1" applyAlignment="1">
      <alignment horizontal="center" wrapText="1"/>
    </xf>
    <xf numFmtId="2" fontId="1" fillId="2" borderId="1" xfId="0" applyNumberFormat="1" applyFont="1" applyFill="1" applyBorder="1" applyAlignment="1">
      <alignment horizontal="right"/>
    </xf>
    <xf numFmtId="0" fontId="1" fillId="2" borderId="1" xfId="0" applyFont="1" applyFill="1" applyBorder="1"/>
    <xf numFmtId="2" fontId="1" fillId="2" borderId="1" xfId="0" applyNumberFormat="1" applyFont="1" applyFill="1" applyBorder="1"/>
    <xf numFmtId="2" fontId="1" fillId="3" borderId="1" xfId="0" applyNumberFormat="1" applyFont="1" applyFill="1" applyBorder="1"/>
    <xf numFmtId="0" fontId="1" fillId="3" borderId="1" xfId="0" applyFont="1" applyFill="1" applyBorder="1"/>
    <xf numFmtId="0" fontId="1" fillId="0" borderId="0" xfId="0" applyFont="1" applyAlignment="1">
      <alignment horizontal="right"/>
    </xf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3" borderId="2" xfId="0" applyFont="1" applyFill="1" applyBorder="1"/>
    <xf numFmtId="2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10" fontId="2" fillId="0" borderId="0" xfId="0" applyNumberFormat="1" applyFont="1"/>
    <xf numFmtId="2" fontId="1" fillId="3" borderId="1" xfId="0" applyNumberFormat="1" applyFont="1" applyFill="1" applyBorder="1" applyAlignment="1">
      <alignment horizontal="right"/>
    </xf>
    <xf numFmtId="0" fontId="1" fillId="0" borderId="1" xfId="0" applyFont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2" fontId="1" fillId="4" borderId="1" xfId="0" applyNumberFormat="1" applyFont="1" applyFill="1" applyBorder="1" applyAlignment="1">
      <alignment horizontal="right"/>
    </xf>
    <xf numFmtId="0" fontId="1" fillId="4" borderId="1" xfId="0" applyFont="1" applyFill="1" applyBorder="1"/>
    <xf numFmtId="0" fontId="1" fillId="3" borderId="1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0" xfId="0"/>
    <xf numFmtId="49" fontId="1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3" xfId="0" applyFont="1" applyBorder="1" applyAlignment="1">
      <alignment horizontal="center" wrapText="1"/>
    </xf>
    <xf numFmtId="0" fontId="4" fillId="0" borderId="3" xfId="0" applyFont="1" applyBorder="1"/>
    <xf numFmtId="0" fontId="5" fillId="0" borderId="0" xfId="0" applyFont="1" applyAlignment="1">
      <alignment horizontal="center"/>
    </xf>
    <xf numFmtId="0" fontId="6" fillId="0" borderId="0" xfId="0" applyFont="1"/>
    <xf numFmtId="49" fontId="5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customschemas.google.com/relationships/workbookmetadata" Target="metadata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00"/>
  <sheetViews>
    <sheetView tabSelected="1" workbookViewId="0">
      <selection activeCell="AC17" sqref="AC17"/>
    </sheetView>
  </sheetViews>
  <sheetFormatPr baseColWidth="10" defaultColWidth="14.5" defaultRowHeight="15" customHeight="1" x14ac:dyDescent="0.2"/>
  <cols>
    <col min="1" max="1" width="13.5" style="39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x14ac:dyDescent="0.2">
      <c r="A1" s="36" t="s">
        <v>0</v>
      </c>
      <c r="B1" s="37"/>
      <c r="C1" s="37"/>
      <c r="D1" s="37"/>
      <c r="E1" s="37"/>
      <c r="F1" s="37"/>
      <c r="G1" s="37"/>
      <c r="H1" s="37"/>
    </row>
    <row r="2" spans="1:10" x14ac:dyDescent="0.2">
      <c r="A2" s="38" t="s">
        <v>1</v>
      </c>
      <c r="B2" s="37"/>
      <c r="C2" s="37"/>
      <c r="D2" s="37"/>
      <c r="E2" s="37"/>
      <c r="F2" s="37"/>
      <c r="G2" s="37"/>
      <c r="H2" s="37"/>
    </row>
    <row r="3" spans="1:10" ht="16" x14ac:dyDescent="0.2">
      <c r="B3" s="2" t="s">
        <v>2</v>
      </c>
      <c r="C3" s="1" t="s">
        <v>3</v>
      </c>
      <c r="F3" s="3" t="s">
        <v>2</v>
      </c>
      <c r="G3" s="1" t="s">
        <v>3</v>
      </c>
    </row>
    <row r="4" spans="1:10" ht="32" x14ac:dyDescent="0.2">
      <c r="A4" s="40" t="s">
        <v>4</v>
      </c>
      <c r="B4" s="5">
        <f>(4.81)/2</f>
        <v>2.4049999999999998</v>
      </c>
      <c r="C4" s="6">
        <v>2</v>
      </c>
      <c r="E4" s="40" t="s">
        <v>5</v>
      </c>
      <c r="F4" s="7">
        <f>(5.02+5.45)/2</f>
        <v>5.2349999999999994</v>
      </c>
      <c r="G4" s="6">
        <v>2</v>
      </c>
      <c r="I4" s="8" t="s">
        <v>6</v>
      </c>
    </row>
    <row r="5" spans="1:10" x14ac:dyDescent="0.2">
      <c r="A5" s="40" t="s">
        <v>7</v>
      </c>
      <c r="B5" s="9">
        <f>(3.72+4.31+2.36+2.82+2.71+2.31+2.33+3.93+2.32+4.43+3.61+1.65+3.83+2.19+2.33+2.35+2.86+1.79+1.74+0.63+1.59+2.11+2.02+1.69+2.04+1.75+1.6+2.35+1.8+2.31+1.94)/31</f>
        <v>2.4329032258064509</v>
      </c>
      <c r="C5" s="10">
        <v>31</v>
      </c>
      <c r="E5" s="40" t="s">
        <v>8</v>
      </c>
      <c r="F5" s="11">
        <f>(6.05+5.88+5.51+6.73+2.9)/5</f>
        <v>5.4139999999999997</v>
      </c>
      <c r="G5" s="10">
        <v>5</v>
      </c>
      <c r="I5" s="41" t="s">
        <v>9</v>
      </c>
      <c r="J5" s="7">
        <v>5.3</v>
      </c>
    </row>
    <row r="6" spans="1:10" x14ac:dyDescent="0.2">
      <c r="A6" s="40" t="s">
        <v>10</v>
      </c>
      <c r="B6" s="9">
        <v>4.04</v>
      </c>
      <c r="C6" s="10">
        <v>1</v>
      </c>
      <c r="E6" s="40" t="s">
        <v>11</v>
      </c>
      <c r="F6" s="11">
        <f>(6.42+4.32+3.89+4.39+3.79+4.6+4.78+4.88+4.33+5.39+4.83+4.07+2.27+3.18+4.22+4.39+4.06+4.41+4.31+4.09)/20</f>
        <v>4.3310000000000004</v>
      </c>
      <c r="G6" s="10">
        <v>20</v>
      </c>
      <c r="I6" s="41" t="s">
        <v>12</v>
      </c>
      <c r="J6" s="7">
        <v>4.84</v>
      </c>
    </row>
    <row r="7" spans="1:10" x14ac:dyDescent="0.2">
      <c r="A7" s="40" t="s">
        <v>13</v>
      </c>
      <c r="B7" s="5" t="s">
        <v>14</v>
      </c>
      <c r="C7" s="6">
        <v>0</v>
      </c>
      <c r="E7" s="40" t="s">
        <v>15</v>
      </c>
      <c r="F7" s="12">
        <v>1.2</v>
      </c>
      <c r="G7" s="13">
        <v>1</v>
      </c>
      <c r="I7" s="41" t="s">
        <v>16</v>
      </c>
      <c r="J7" s="7">
        <v>5.69</v>
      </c>
    </row>
    <row r="8" spans="1:10" x14ac:dyDescent="0.2">
      <c r="A8" s="40" t="s">
        <v>17</v>
      </c>
      <c r="B8" s="5">
        <f>(4.28+5.97+4.18+0.1)/4</f>
        <v>3.6324999999999998</v>
      </c>
      <c r="C8" s="6">
        <v>4</v>
      </c>
      <c r="E8" s="40" t="s">
        <v>18</v>
      </c>
      <c r="F8" s="7">
        <f>(9.32+8.3+7.46+8.21+2.7+2.45+4.95+8.87+4.55+0+0+7.19)/12</f>
        <v>5.3333333333333348</v>
      </c>
      <c r="G8" s="6">
        <v>12</v>
      </c>
      <c r="I8" s="41" t="s">
        <v>19</v>
      </c>
      <c r="J8" s="7">
        <v>5.3</v>
      </c>
    </row>
    <row r="9" spans="1:10" x14ac:dyDescent="0.2">
      <c r="A9" s="40" t="s">
        <v>20</v>
      </c>
      <c r="B9" s="9" t="s">
        <v>14</v>
      </c>
      <c r="C9" s="10">
        <v>0</v>
      </c>
      <c r="E9" s="40" t="s">
        <v>21</v>
      </c>
      <c r="F9" s="11">
        <f>(6.41+6.86+2.69+5.93)/4</f>
        <v>5.4725000000000001</v>
      </c>
      <c r="G9" s="10">
        <v>4</v>
      </c>
      <c r="I9" s="41" t="s">
        <v>22</v>
      </c>
      <c r="J9" s="7">
        <v>5.17</v>
      </c>
    </row>
    <row r="10" spans="1:10" x14ac:dyDescent="0.2">
      <c r="A10" s="40" t="s">
        <v>23</v>
      </c>
      <c r="B10" s="9">
        <v>3.31</v>
      </c>
      <c r="C10" s="10">
        <v>1</v>
      </c>
      <c r="E10" s="40" t="s">
        <v>24</v>
      </c>
      <c r="F10" s="11">
        <f>(4.55+4.17+3.73+5.01+4.25)/5</f>
        <v>4.3420000000000005</v>
      </c>
      <c r="G10" s="10">
        <v>5</v>
      </c>
      <c r="I10" s="41" t="s">
        <v>25</v>
      </c>
      <c r="J10" s="7">
        <v>5.48</v>
      </c>
    </row>
    <row r="11" spans="1:10" x14ac:dyDescent="0.2">
      <c r="A11" s="40" t="s">
        <v>26</v>
      </c>
      <c r="B11" s="5">
        <f>(5.05+3.75)/2</f>
        <v>4.4000000000000004</v>
      </c>
      <c r="C11" s="6">
        <v>2</v>
      </c>
      <c r="E11" s="40" t="s">
        <v>27</v>
      </c>
      <c r="F11" s="7">
        <f>(6.12+6.55+7.41+6.52+6.07+5.08+5.67+5.61)/8</f>
        <v>6.1287500000000001</v>
      </c>
      <c r="G11" s="6">
        <v>8</v>
      </c>
      <c r="I11" s="41" t="s">
        <v>28</v>
      </c>
      <c r="J11" s="7">
        <v>6.06</v>
      </c>
    </row>
    <row r="12" spans="1:10" x14ac:dyDescent="0.2">
      <c r="A12" s="40" t="s">
        <v>29</v>
      </c>
      <c r="B12" s="5" t="s">
        <v>14</v>
      </c>
      <c r="C12" s="6">
        <v>0</v>
      </c>
      <c r="E12" s="40" t="s">
        <v>30</v>
      </c>
      <c r="F12" s="5" t="s">
        <v>31</v>
      </c>
      <c r="G12" s="6">
        <v>0</v>
      </c>
      <c r="I12" s="41" t="s">
        <v>32</v>
      </c>
      <c r="J12" s="7">
        <v>5.43</v>
      </c>
    </row>
    <row r="13" spans="1:10" x14ac:dyDescent="0.2">
      <c r="A13" s="40" t="s">
        <v>33</v>
      </c>
      <c r="B13" s="9" t="s">
        <v>14</v>
      </c>
      <c r="C13" s="10">
        <v>0</v>
      </c>
      <c r="E13" s="40" t="s">
        <v>34</v>
      </c>
      <c r="F13" s="11">
        <v>2.3199999999999998</v>
      </c>
      <c r="G13" s="10">
        <v>1</v>
      </c>
      <c r="I13" s="41" t="s">
        <v>35</v>
      </c>
      <c r="J13" s="7">
        <v>5.34</v>
      </c>
    </row>
    <row r="14" spans="1:10" x14ac:dyDescent="0.2">
      <c r="A14" s="40" t="s">
        <v>36</v>
      </c>
      <c r="B14" s="9">
        <v>5.46</v>
      </c>
      <c r="C14" s="10">
        <v>1</v>
      </c>
      <c r="E14" s="40" t="s">
        <v>37</v>
      </c>
      <c r="F14" s="11">
        <f>(4.75+5.86+7.26+5.43+5.96+6.76+7.05+7.86+7+3.15+5.82+5.94+7.78+6.55+6.53+5.86+5.08+6.1+7.41+5.09+7.42+5.09+6.82)/23</f>
        <v>6.1986956521739112</v>
      </c>
      <c r="G14" s="10">
        <v>23</v>
      </c>
      <c r="I14" s="41" t="s">
        <v>38</v>
      </c>
      <c r="J14" s="7">
        <v>4.9800000000000004</v>
      </c>
    </row>
    <row r="15" spans="1:10" x14ac:dyDescent="0.2">
      <c r="A15" s="40" t="s">
        <v>39</v>
      </c>
      <c r="B15" s="5">
        <v>3.11</v>
      </c>
      <c r="C15" s="6">
        <v>1</v>
      </c>
      <c r="E15" s="40" t="s">
        <v>40</v>
      </c>
      <c r="F15" s="5" t="s">
        <v>31</v>
      </c>
      <c r="G15" s="6">
        <v>0</v>
      </c>
      <c r="I15" s="41" t="s">
        <v>41</v>
      </c>
      <c r="J15" s="7">
        <v>5.63</v>
      </c>
    </row>
    <row r="16" spans="1:10" x14ac:dyDescent="0.2">
      <c r="A16" s="40" t="s">
        <v>42</v>
      </c>
      <c r="B16" s="5">
        <f>(4.8+4.94+6.09)/3</f>
        <v>5.2766666666666664</v>
      </c>
      <c r="C16" s="6">
        <v>3</v>
      </c>
      <c r="E16" s="40" t="s">
        <v>43</v>
      </c>
      <c r="F16" s="7">
        <v>4.99</v>
      </c>
      <c r="G16" s="6">
        <v>1</v>
      </c>
      <c r="I16" s="41" t="s">
        <v>44</v>
      </c>
      <c r="J16" s="7">
        <v>5.45</v>
      </c>
    </row>
    <row r="17" spans="1:10" x14ac:dyDescent="0.2">
      <c r="A17" s="40" t="s">
        <v>45</v>
      </c>
      <c r="B17" s="9">
        <v>5.13</v>
      </c>
      <c r="C17" s="10">
        <v>1</v>
      </c>
      <c r="E17" s="40" t="s">
        <v>46</v>
      </c>
      <c r="F17" s="11">
        <f>(4.84+4.76+6.76+1.64+5.02+5.01+5.06+3.69+6.16+6.7+8.09)/11</f>
        <v>5.2481818181818189</v>
      </c>
      <c r="G17" s="10">
        <v>11</v>
      </c>
      <c r="I17" s="41" t="s">
        <v>47</v>
      </c>
      <c r="J17" s="7">
        <v>5.49</v>
      </c>
    </row>
    <row r="18" spans="1:10" x14ac:dyDescent="0.2">
      <c r="A18" s="40" t="s">
        <v>48</v>
      </c>
      <c r="B18" s="9" t="s">
        <v>14</v>
      </c>
      <c r="C18" s="10">
        <v>0</v>
      </c>
      <c r="E18" s="40" t="s">
        <v>49</v>
      </c>
      <c r="F18" s="11">
        <f>(2.79+2.75+1.95+2.99+3.15+2.91+2.86+1.81+3.73+2.63+2.87+2.85+2.82+3.17+3.19+2.59+1.96+0.45+2.96+1.39+4.15)/21</f>
        <v>2.6652380952380956</v>
      </c>
      <c r="G18" s="10">
        <v>21</v>
      </c>
      <c r="I18" s="41" t="s">
        <v>50</v>
      </c>
      <c r="J18" s="7">
        <v>4.91</v>
      </c>
    </row>
    <row r="19" spans="1:10" x14ac:dyDescent="0.2">
      <c r="A19" s="40" t="s">
        <v>51</v>
      </c>
      <c r="B19" s="5" t="s">
        <v>14</v>
      </c>
      <c r="C19" s="6">
        <v>0</v>
      </c>
      <c r="E19" s="40" t="s">
        <v>52</v>
      </c>
      <c r="F19" s="7">
        <f>(3.43+4.8+3.57)/3</f>
        <v>3.9333333333333336</v>
      </c>
      <c r="G19" s="6">
        <v>3</v>
      </c>
      <c r="I19" s="41" t="s">
        <v>53</v>
      </c>
      <c r="J19" s="7">
        <v>5.86</v>
      </c>
    </row>
    <row r="20" spans="1:10" x14ac:dyDescent="0.2">
      <c r="A20" s="40" t="s">
        <v>54</v>
      </c>
      <c r="B20" s="5">
        <f>(6.72+6.57+6.59+5.97+6.37+5.81)/6</f>
        <v>6.3383333333333338</v>
      </c>
      <c r="C20" s="6">
        <v>6</v>
      </c>
      <c r="E20" s="40" t="s">
        <v>55</v>
      </c>
      <c r="F20" s="7">
        <f>(4.61+8.33+4.22+5.28)/4</f>
        <v>5.61</v>
      </c>
      <c r="G20" s="6">
        <v>4</v>
      </c>
      <c r="I20" s="41" t="s">
        <v>56</v>
      </c>
      <c r="J20" s="7">
        <v>5.08</v>
      </c>
    </row>
    <row r="21" spans="1:10" ht="15.75" customHeight="1" x14ac:dyDescent="0.2">
      <c r="A21" s="40" t="s">
        <v>57</v>
      </c>
      <c r="B21" s="9" t="s">
        <v>14</v>
      </c>
      <c r="C21" s="10">
        <v>0</v>
      </c>
      <c r="E21" s="40" t="s">
        <v>58</v>
      </c>
      <c r="F21" s="11">
        <f>(5.97+6.62+5.39+5.2+4.69+5.35)/6</f>
        <v>5.5366666666666662</v>
      </c>
      <c r="G21" s="10">
        <v>6</v>
      </c>
      <c r="I21" s="41" t="s">
        <v>59</v>
      </c>
      <c r="J21" s="7">
        <v>5.2</v>
      </c>
    </row>
    <row r="22" spans="1:10" ht="15.75" customHeight="1" x14ac:dyDescent="0.2">
      <c r="A22" s="40" t="s">
        <v>60</v>
      </c>
      <c r="B22" s="9">
        <v>6.13</v>
      </c>
      <c r="C22" s="10">
        <v>1</v>
      </c>
      <c r="E22" s="40" t="s">
        <v>61</v>
      </c>
      <c r="F22" s="9" t="s">
        <v>31</v>
      </c>
      <c r="G22" s="10">
        <v>0</v>
      </c>
      <c r="I22" s="41" t="s">
        <v>62</v>
      </c>
      <c r="J22" s="7">
        <v>5.55</v>
      </c>
    </row>
    <row r="23" spans="1:10" ht="15.75" customHeight="1" x14ac:dyDescent="0.2">
      <c r="A23" s="40" t="s">
        <v>63</v>
      </c>
      <c r="B23" s="5">
        <v>3.29</v>
      </c>
      <c r="C23" s="6">
        <v>1</v>
      </c>
      <c r="E23" s="40" t="s">
        <v>64</v>
      </c>
      <c r="F23" s="5">
        <v>1.1499999999999999</v>
      </c>
      <c r="G23" s="6">
        <v>1</v>
      </c>
      <c r="I23" s="41" t="s">
        <v>65</v>
      </c>
      <c r="J23" s="7">
        <v>5.75</v>
      </c>
    </row>
    <row r="24" spans="1:10" ht="15.75" customHeight="1" x14ac:dyDescent="0.2">
      <c r="A24" s="40" t="s">
        <v>66</v>
      </c>
      <c r="B24" s="5" t="s">
        <v>14</v>
      </c>
      <c r="C24" s="6">
        <v>0</v>
      </c>
      <c r="E24" s="40" t="s">
        <v>67</v>
      </c>
      <c r="F24" s="5" t="s">
        <v>31</v>
      </c>
      <c r="G24" s="6">
        <v>0</v>
      </c>
      <c r="I24" s="41" t="s">
        <v>68</v>
      </c>
      <c r="J24" s="7">
        <v>6.43</v>
      </c>
    </row>
    <row r="25" spans="1:10" ht="15.75" customHeight="1" x14ac:dyDescent="0.2">
      <c r="A25" s="40" t="s">
        <v>69</v>
      </c>
      <c r="B25" s="9">
        <f>(0.02+4.92+4.07+5.21)/4</f>
        <v>3.5549999999999997</v>
      </c>
      <c r="C25" s="10">
        <v>4</v>
      </c>
      <c r="E25" s="40" t="s">
        <v>70</v>
      </c>
      <c r="F25" s="11">
        <v>3.22</v>
      </c>
      <c r="G25" s="10">
        <v>1</v>
      </c>
      <c r="I25" s="41" t="s">
        <v>71</v>
      </c>
      <c r="J25" s="7">
        <v>4.9800000000000004</v>
      </c>
    </row>
    <row r="26" spans="1:10" ht="15.75" customHeight="1" x14ac:dyDescent="0.2">
      <c r="A26" s="40" t="s">
        <v>72</v>
      </c>
      <c r="B26" s="9" t="s">
        <v>14</v>
      </c>
      <c r="C26" s="10">
        <v>0</v>
      </c>
      <c r="E26" s="40" t="s">
        <v>73</v>
      </c>
      <c r="F26" s="11">
        <f>(0.64+4.15)/2</f>
        <v>2.395</v>
      </c>
      <c r="G26" s="10">
        <v>2</v>
      </c>
      <c r="I26" s="41" t="s">
        <v>74</v>
      </c>
      <c r="J26" s="7">
        <v>5.79</v>
      </c>
    </row>
    <row r="27" spans="1:10" ht="15.75" customHeight="1" x14ac:dyDescent="0.2">
      <c r="A27" s="40" t="s">
        <v>75</v>
      </c>
      <c r="B27" s="5">
        <v>4.9000000000000004</v>
      </c>
      <c r="C27" s="6">
        <v>1</v>
      </c>
      <c r="E27" s="40" t="s">
        <v>76</v>
      </c>
      <c r="F27" s="7">
        <f>(4.02+4.24+7.55+4.55+4.35+0)/6</f>
        <v>4.1183333333333332</v>
      </c>
      <c r="G27" s="6">
        <v>6</v>
      </c>
      <c r="I27" s="41" t="s">
        <v>77</v>
      </c>
      <c r="J27" s="7">
        <v>5.31</v>
      </c>
    </row>
    <row r="28" spans="1:10" ht="15.75" customHeight="1" x14ac:dyDescent="0.2">
      <c r="A28" s="40" t="s">
        <v>78</v>
      </c>
      <c r="B28" s="5">
        <f>(5.82+5.64+5.07+5.29+4.76+5.45+5.29)/7</f>
        <v>5.3314285714285718</v>
      </c>
      <c r="C28" s="6">
        <v>7</v>
      </c>
      <c r="E28" s="40" t="s">
        <v>79</v>
      </c>
      <c r="F28" s="12">
        <f>(4.01+4.3+4.15+4.25+4.37+5.12+4.53+4.57+5.12+6.15+4.6+4.49+5.1+3.76+2.05)/15</f>
        <v>4.4380000000000006</v>
      </c>
      <c r="G28" s="6">
        <v>15</v>
      </c>
      <c r="I28" s="41" t="s">
        <v>80</v>
      </c>
      <c r="J28" s="7">
        <v>5.31</v>
      </c>
    </row>
    <row r="29" spans="1:10" ht="15.75" customHeight="1" x14ac:dyDescent="0.2">
      <c r="A29" s="40" t="s">
        <v>81</v>
      </c>
      <c r="B29" s="9">
        <f>(6.62+6.13+5.23+5.71)/4</f>
        <v>5.9225000000000003</v>
      </c>
      <c r="C29" s="10">
        <v>4</v>
      </c>
      <c r="E29" s="40" t="s">
        <v>82</v>
      </c>
      <c r="F29" s="9" t="s">
        <v>31</v>
      </c>
      <c r="G29" s="10">
        <v>0</v>
      </c>
      <c r="I29" s="41" t="s">
        <v>83</v>
      </c>
      <c r="J29" s="7">
        <v>4.8899999999999997</v>
      </c>
    </row>
    <row r="30" spans="1:10" ht="15.75" customHeight="1" x14ac:dyDescent="0.2">
      <c r="A30" s="40" t="s">
        <v>84</v>
      </c>
      <c r="B30" s="9">
        <v>3.58</v>
      </c>
      <c r="C30" s="10">
        <v>1</v>
      </c>
      <c r="E30" s="40" t="s">
        <v>85</v>
      </c>
      <c r="F30" s="11">
        <f>(4.63+2.04+5.18+4.59)/4</f>
        <v>4.1099999999999994</v>
      </c>
      <c r="G30" s="10">
        <v>4</v>
      </c>
      <c r="I30" s="41" t="s">
        <v>86</v>
      </c>
      <c r="J30" s="7">
        <v>5.71</v>
      </c>
    </row>
    <row r="31" spans="1:10" ht="15.75" customHeight="1" x14ac:dyDescent="0.2">
      <c r="A31" s="40" t="s">
        <v>87</v>
      </c>
      <c r="B31" s="5">
        <f>(4.34+3.62+2.13)/3</f>
        <v>3.3633333333333333</v>
      </c>
      <c r="C31" s="6">
        <v>3</v>
      </c>
      <c r="E31" s="40" t="s">
        <v>88</v>
      </c>
      <c r="F31" s="7">
        <v>4.1100000000000003</v>
      </c>
      <c r="G31" s="6">
        <v>1</v>
      </c>
      <c r="I31" s="41" t="s">
        <v>89</v>
      </c>
      <c r="J31" s="7">
        <v>5.19</v>
      </c>
    </row>
    <row r="32" spans="1:10" ht="15.75" customHeight="1" x14ac:dyDescent="0.2">
      <c r="A32" s="40" t="s">
        <v>65</v>
      </c>
      <c r="B32" s="5" t="s">
        <v>14</v>
      </c>
      <c r="C32" s="6">
        <v>0</v>
      </c>
      <c r="E32" s="40" t="s">
        <v>90</v>
      </c>
      <c r="F32" s="7">
        <f>(5.55+4.48+5.43+3.94+4.29)/5</f>
        <v>4.7380000000000004</v>
      </c>
      <c r="G32" s="6">
        <v>5</v>
      </c>
      <c r="I32" s="41" t="s">
        <v>91</v>
      </c>
      <c r="J32" s="7">
        <v>4.7699999999999996</v>
      </c>
    </row>
    <row r="33" spans="1:10" ht="15.75" customHeight="1" x14ac:dyDescent="0.2">
      <c r="A33" s="40" t="s">
        <v>92</v>
      </c>
      <c r="B33" s="9" t="s">
        <v>14</v>
      </c>
      <c r="C33" s="10">
        <v>0</v>
      </c>
      <c r="E33" s="40" t="s">
        <v>93</v>
      </c>
      <c r="F33" s="9">
        <v>5.17</v>
      </c>
      <c r="G33" s="10">
        <v>1</v>
      </c>
      <c r="I33" s="41" t="s">
        <v>94</v>
      </c>
      <c r="J33" s="7">
        <v>5.25</v>
      </c>
    </row>
    <row r="34" spans="1:10" ht="15.75" customHeight="1" x14ac:dyDescent="0.2">
      <c r="A34" s="40" t="s">
        <v>95</v>
      </c>
      <c r="B34" s="9" t="s">
        <v>14</v>
      </c>
      <c r="C34" s="10">
        <v>0</v>
      </c>
      <c r="E34" s="40" t="s">
        <v>96</v>
      </c>
      <c r="F34" s="11">
        <v>4.79</v>
      </c>
      <c r="G34" s="10">
        <v>1</v>
      </c>
      <c r="I34" s="41" t="s">
        <v>97</v>
      </c>
      <c r="J34" s="7">
        <v>4.8499999999999996</v>
      </c>
    </row>
    <row r="35" spans="1:10" ht="15.75" customHeight="1" x14ac:dyDescent="0.2">
      <c r="A35" s="40" t="s">
        <v>98</v>
      </c>
      <c r="B35" s="5" t="s">
        <v>14</v>
      </c>
      <c r="C35" s="6">
        <v>0</v>
      </c>
      <c r="E35" s="40" t="s">
        <v>99</v>
      </c>
      <c r="F35" s="7">
        <f>(7.01+6.65)/2</f>
        <v>6.83</v>
      </c>
      <c r="G35" s="6">
        <v>2</v>
      </c>
      <c r="I35" s="41" t="s">
        <v>100</v>
      </c>
      <c r="J35" s="7">
        <v>5.03</v>
      </c>
    </row>
    <row r="36" spans="1:10" ht="15.75" customHeight="1" x14ac:dyDescent="0.2">
      <c r="A36" s="40" t="s">
        <v>101</v>
      </c>
      <c r="B36" s="5" t="s">
        <v>14</v>
      </c>
      <c r="C36" s="6">
        <v>0</v>
      </c>
      <c r="E36" s="40" t="s">
        <v>102</v>
      </c>
      <c r="F36" s="7">
        <f>(5.19+4.31)/2</f>
        <v>4.75</v>
      </c>
      <c r="G36" s="6">
        <v>2</v>
      </c>
      <c r="I36" s="41" t="s">
        <v>103</v>
      </c>
      <c r="J36" s="7">
        <v>5.39</v>
      </c>
    </row>
    <row r="37" spans="1:10" ht="15.75" customHeight="1" x14ac:dyDescent="0.2">
      <c r="A37" s="40" t="s">
        <v>104</v>
      </c>
      <c r="B37" s="9" t="s">
        <v>14</v>
      </c>
      <c r="C37" s="10">
        <v>0</v>
      </c>
      <c r="I37" s="41" t="s">
        <v>105</v>
      </c>
      <c r="J37" s="7">
        <v>5</v>
      </c>
    </row>
    <row r="38" spans="1:10" ht="15.75" customHeight="1" x14ac:dyDescent="0.2">
      <c r="B38" s="14"/>
      <c r="I38" s="41" t="s">
        <v>106</v>
      </c>
      <c r="J38" s="7">
        <v>5.26</v>
      </c>
    </row>
    <row r="39" spans="1:10" ht="15.75" customHeight="1" x14ac:dyDescent="0.2">
      <c r="B39" s="14"/>
      <c r="I39" s="41" t="s">
        <v>107</v>
      </c>
      <c r="J39" s="7">
        <v>5.39</v>
      </c>
    </row>
    <row r="40" spans="1:10" ht="15.75" customHeight="1" x14ac:dyDescent="0.2">
      <c r="B40" s="14"/>
      <c r="I40" s="41" t="s">
        <v>108</v>
      </c>
      <c r="J40" s="7">
        <v>5.54</v>
      </c>
    </row>
    <row r="41" spans="1:10" ht="15.75" customHeight="1" x14ac:dyDescent="0.2">
      <c r="B41" s="14"/>
      <c r="I41" s="41" t="s">
        <v>109</v>
      </c>
      <c r="J41" s="7">
        <v>5.14</v>
      </c>
    </row>
    <row r="42" spans="1:10" ht="15.75" customHeight="1" x14ac:dyDescent="0.2">
      <c r="B42" s="14"/>
      <c r="I42" s="41" t="s">
        <v>110</v>
      </c>
      <c r="J42" s="7">
        <v>4.7699999999999996</v>
      </c>
    </row>
    <row r="43" spans="1:10" ht="15.75" customHeight="1" x14ac:dyDescent="0.2">
      <c r="B43" s="14"/>
      <c r="I43" s="41" t="s">
        <v>111</v>
      </c>
      <c r="J43" s="7">
        <v>4.99</v>
      </c>
    </row>
    <row r="44" spans="1:10" ht="15.75" customHeight="1" x14ac:dyDescent="0.2">
      <c r="B44" s="14"/>
      <c r="I44" s="41" t="s">
        <v>112</v>
      </c>
      <c r="J44" s="7">
        <v>5.95</v>
      </c>
    </row>
    <row r="45" spans="1:10" ht="15.75" customHeight="1" x14ac:dyDescent="0.2">
      <c r="B45" s="14"/>
      <c r="I45" s="41" t="s">
        <v>113</v>
      </c>
      <c r="J45" s="7">
        <v>5.34</v>
      </c>
    </row>
    <row r="46" spans="1:10" ht="15.75" customHeight="1" x14ac:dyDescent="0.2">
      <c r="B46" s="14"/>
      <c r="I46" s="41" t="s">
        <v>114</v>
      </c>
      <c r="J46" s="7">
        <v>4.87</v>
      </c>
    </row>
    <row r="47" spans="1:10" ht="15.75" customHeight="1" x14ac:dyDescent="0.2">
      <c r="B47" s="14"/>
    </row>
    <row r="48" spans="1:10" ht="15.75" customHeight="1" x14ac:dyDescent="0.2">
      <c r="B48" s="14"/>
    </row>
    <row r="49" spans="2:2" ht="15.75" customHeight="1" x14ac:dyDescent="0.2">
      <c r="B49" s="14"/>
    </row>
    <row r="50" spans="2:2" ht="15.75" customHeight="1" x14ac:dyDescent="0.2">
      <c r="B50" s="14"/>
    </row>
    <row r="51" spans="2:2" ht="15.75" customHeight="1" x14ac:dyDescent="0.2">
      <c r="B51" s="14"/>
    </row>
    <row r="52" spans="2:2" ht="15.75" customHeight="1" x14ac:dyDescent="0.2">
      <c r="B52" s="14"/>
    </row>
    <row r="53" spans="2:2" ht="15.75" customHeight="1" x14ac:dyDescent="0.2">
      <c r="B53" s="14"/>
    </row>
    <row r="54" spans="2:2" ht="15.75" customHeight="1" x14ac:dyDescent="0.2">
      <c r="B54" s="14"/>
    </row>
    <row r="55" spans="2:2" ht="15.75" customHeight="1" x14ac:dyDescent="0.2">
      <c r="B55" s="14"/>
    </row>
    <row r="56" spans="2:2" ht="15.75" customHeight="1" x14ac:dyDescent="0.2">
      <c r="B56" s="14"/>
    </row>
    <row r="57" spans="2:2" ht="15.75" customHeight="1" x14ac:dyDescent="0.2">
      <c r="B57" s="14"/>
    </row>
    <row r="58" spans="2:2" ht="15.75" customHeight="1" x14ac:dyDescent="0.2">
      <c r="B58" s="14"/>
    </row>
    <row r="59" spans="2:2" ht="15.75" customHeight="1" x14ac:dyDescent="0.2">
      <c r="B59" s="14"/>
    </row>
    <row r="60" spans="2:2" ht="15.75" customHeight="1" x14ac:dyDescent="0.2">
      <c r="B60" s="14"/>
    </row>
    <row r="61" spans="2:2" ht="15.75" customHeight="1" x14ac:dyDescent="0.2">
      <c r="B61" s="14"/>
    </row>
    <row r="62" spans="2:2" ht="15.75" customHeight="1" x14ac:dyDescent="0.2">
      <c r="B62" s="14"/>
    </row>
    <row r="63" spans="2:2" ht="15.75" customHeight="1" x14ac:dyDescent="0.2">
      <c r="B63" s="14"/>
    </row>
    <row r="64" spans="2:2" ht="15.75" customHeight="1" x14ac:dyDescent="0.2">
      <c r="B64" s="14"/>
    </row>
    <row r="65" spans="2:2" ht="15.75" customHeight="1" x14ac:dyDescent="0.2">
      <c r="B65" s="14"/>
    </row>
    <row r="66" spans="2:2" ht="15.75" customHeight="1" x14ac:dyDescent="0.2">
      <c r="B66" s="14"/>
    </row>
    <row r="67" spans="2:2" ht="15.75" customHeight="1" x14ac:dyDescent="0.2">
      <c r="B67" s="14"/>
    </row>
    <row r="68" spans="2:2" ht="15.75" customHeight="1" x14ac:dyDescent="0.2">
      <c r="B68" s="14"/>
    </row>
    <row r="69" spans="2:2" ht="15.75" customHeight="1" x14ac:dyDescent="0.2">
      <c r="B69" s="14"/>
    </row>
    <row r="70" spans="2:2" ht="15.75" customHeight="1" x14ac:dyDescent="0.2">
      <c r="B70" s="14"/>
    </row>
    <row r="71" spans="2:2" ht="15.75" customHeight="1" x14ac:dyDescent="0.2">
      <c r="B71" s="14"/>
    </row>
    <row r="72" spans="2:2" ht="15.75" customHeight="1" x14ac:dyDescent="0.2">
      <c r="B72" s="14"/>
    </row>
    <row r="73" spans="2:2" ht="15.75" customHeight="1" x14ac:dyDescent="0.2">
      <c r="B73" s="14"/>
    </row>
    <row r="74" spans="2:2" ht="15.75" customHeight="1" x14ac:dyDescent="0.2">
      <c r="B74" s="14"/>
    </row>
    <row r="75" spans="2:2" ht="15.75" customHeight="1" x14ac:dyDescent="0.2">
      <c r="B75" s="14"/>
    </row>
    <row r="76" spans="2:2" ht="15.75" customHeight="1" x14ac:dyDescent="0.2">
      <c r="B76" s="14"/>
    </row>
    <row r="77" spans="2:2" ht="15.75" customHeight="1" x14ac:dyDescent="0.2">
      <c r="B77" s="14"/>
    </row>
    <row r="78" spans="2:2" ht="15.75" customHeight="1" x14ac:dyDescent="0.2">
      <c r="B78" s="14"/>
    </row>
    <row r="79" spans="2:2" ht="15.75" customHeight="1" x14ac:dyDescent="0.2">
      <c r="B79" s="14"/>
    </row>
    <row r="80" spans="2:2" ht="15.75" customHeight="1" x14ac:dyDescent="0.2">
      <c r="B80" s="14"/>
    </row>
    <row r="81" spans="2:2" ht="15.75" customHeight="1" x14ac:dyDescent="0.2">
      <c r="B81" s="14"/>
    </row>
    <row r="82" spans="2:2" ht="15.75" customHeight="1" x14ac:dyDescent="0.2">
      <c r="B82" s="14"/>
    </row>
    <row r="83" spans="2:2" ht="15.75" customHeight="1" x14ac:dyDescent="0.2">
      <c r="B83" s="14"/>
    </row>
    <row r="84" spans="2:2" ht="15.75" customHeight="1" x14ac:dyDescent="0.2">
      <c r="B84" s="14"/>
    </row>
    <row r="85" spans="2:2" ht="15.75" customHeight="1" x14ac:dyDescent="0.2">
      <c r="B85" s="14"/>
    </row>
    <row r="86" spans="2:2" ht="15.75" customHeight="1" x14ac:dyDescent="0.2">
      <c r="B86" s="14"/>
    </row>
    <row r="87" spans="2:2" ht="15.75" customHeight="1" x14ac:dyDescent="0.2">
      <c r="B87" s="14"/>
    </row>
    <row r="88" spans="2:2" ht="15.75" customHeight="1" x14ac:dyDescent="0.2">
      <c r="B88" s="14"/>
    </row>
    <row r="89" spans="2:2" ht="15.75" customHeight="1" x14ac:dyDescent="0.2">
      <c r="B89" s="14"/>
    </row>
    <row r="90" spans="2:2" ht="15.75" customHeight="1" x14ac:dyDescent="0.2">
      <c r="B90" s="14"/>
    </row>
    <row r="91" spans="2:2" ht="15.75" customHeight="1" x14ac:dyDescent="0.2">
      <c r="B91" s="14"/>
    </row>
    <row r="92" spans="2:2" ht="15.75" customHeight="1" x14ac:dyDescent="0.2">
      <c r="B92" s="14"/>
    </row>
    <row r="93" spans="2:2" ht="15.75" customHeight="1" x14ac:dyDescent="0.2">
      <c r="B93" s="14"/>
    </row>
    <row r="94" spans="2:2" ht="15.75" customHeight="1" x14ac:dyDescent="0.2">
      <c r="B94" s="14"/>
    </row>
    <row r="95" spans="2:2" ht="15.75" customHeight="1" x14ac:dyDescent="0.2">
      <c r="B95" s="14"/>
    </row>
    <row r="96" spans="2:2" ht="15.75" customHeight="1" x14ac:dyDescent="0.2">
      <c r="B96" s="14"/>
    </row>
    <row r="97" spans="2:2" ht="15.75" customHeight="1" x14ac:dyDescent="0.2">
      <c r="B97" s="14"/>
    </row>
    <row r="98" spans="2:2" ht="15.75" customHeight="1" x14ac:dyDescent="0.2">
      <c r="B98" s="14"/>
    </row>
    <row r="99" spans="2:2" ht="15.75" customHeight="1" x14ac:dyDescent="0.2">
      <c r="B99" s="14"/>
    </row>
    <row r="100" spans="2:2" ht="15.75" customHeight="1" x14ac:dyDescent="0.2">
      <c r="B100" s="14"/>
    </row>
    <row r="101" spans="2:2" ht="15.75" customHeight="1" x14ac:dyDescent="0.2">
      <c r="B101" s="14"/>
    </row>
    <row r="102" spans="2:2" ht="15.75" customHeight="1" x14ac:dyDescent="0.2">
      <c r="B102" s="14"/>
    </row>
    <row r="103" spans="2:2" ht="15.75" customHeight="1" x14ac:dyDescent="0.2">
      <c r="B103" s="14"/>
    </row>
    <row r="104" spans="2:2" ht="15.75" customHeight="1" x14ac:dyDescent="0.2">
      <c r="B104" s="14"/>
    </row>
    <row r="105" spans="2:2" ht="15.75" customHeight="1" x14ac:dyDescent="0.2">
      <c r="B105" s="14"/>
    </row>
    <row r="106" spans="2:2" ht="15.75" customHeight="1" x14ac:dyDescent="0.2">
      <c r="B106" s="14"/>
    </row>
    <row r="107" spans="2:2" ht="15.75" customHeight="1" x14ac:dyDescent="0.2">
      <c r="B107" s="14"/>
    </row>
    <row r="108" spans="2:2" ht="15.75" customHeight="1" x14ac:dyDescent="0.2">
      <c r="B108" s="14"/>
    </row>
    <row r="109" spans="2:2" ht="15.75" customHeight="1" x14ac:dyDescent="0.2">
      <c r="B109" s="14"/>
    </row>
    <row r="110" spans="2:2" ht="15.75" customHeight="1" x14ac:dyDescent="0.2">
      <c r="B110" s="14"/>
    </row>
    <row r="111" spans="2:2" ht="15.75" customHeight="1" x14ac:dyDescent="0.2">
      <c r="B111" s="14"/>
    </row>
    <row r="112" spans="2:2" ht="15.75" customHeight="1" x14ac:dyDescent="0.2">
      <c r="B112" s="14"/>
    </row>
    <row r="113" spans="2:2" ht="15.75" customHeight="1" x14ac:dyDescent="0.2">
      <c r="B113" s="14"/>
    </row>
    <row r="114" spans="2:2" ht="15.75" customHeight="1" x14ac:dyDescent="0.2">
      <c r="B114" s="14"/>
    </row>
    <row r="115" spans="2:2" ht="15.75" customHeight="1" x14ac:dyDescent="0.2">
      <c r="B115" s="14"/>
    </row>
    <row r="116" spans="2:2" ht="15.75" customHeight="1" x14ac:dyDescent="0.2">
      <c r="B116" s="14"/>
    </row>
    <row r="117" spans="2:2" ht="15.75" customHeight="1" x14ac:dyDescent="0.2">
      <c r="B117" s="14"/>
    </row>
    <row r="118" spans="2:2" ht="15.75" customHeight="1" x14ac:dyDescent="0.2">
      <c r="B118" s="14"/>
    </row>
    <row r="119" spans="2:2" ht="15.75" customHeight="1" x14ac:dyDescent="0.2">
      <c r="B119" s="14"/>
    </row>
    <row r="120" spans="2:2" ht="15.75" customHeight="1" x14ac:dyDescent="0.2">
      <c r="B120" s="14"/>
    </row>
    <row r="121" spans="2:2" ht="15.75" customHeight="1" x14ac:dyDescent="0.2">
      <c r="B121" s="14"/>
    </row>
    <row r="122" spans="2:2" ht="15.75" customHeight="1" x14ac:dyDescent="0.2">
      <c r="B122" s="14"/>
    </row>
    <row r="123" spans="2:2" ht="15.75" customHeight="1" x14ac:dyDescent="0.2">
      <c r="B123" s="14"/>
    </row>
    <row r="124" spans="2:2" ht="15.75" customHeight="1" x14ac:dyDescent="0.2">
      <c r="B124" s="14"/>
    </row>
    <row r="125" spans="2:2" ht="15.75" customHeight="1" x14ac:dyDescent="0.2">
      <c r="B125" s="14"/>
    </row>
    <row r="126" spans="2:2" ht="15.75" customHeight="1" x14ac:dyDescent="0.2">
      <c r="B126" s="14"/>
    </row>
    <row r="127" spans="2:2" ht="15.75" customHeight="1" x14ac:dyDescent="0.2">
      <c r="B127" s="14"/>
    </row>
    <row r="128" spans="2:2" ht="15.75" customHeight="1" x14ac:dyDescent="0.2">
      <c r="B128" s="14"/>
    </row>
    <row r="129" spans="2:2" ht="15.75" customHeight="1" x14ac:dyDescent="0.2">
      <c r="B129" s="14"/>
    </row>
    <row r="130" spans="2:2" ht="15.75" customHeight="1" x14ac:dyDescent="0.2">
      <c r="B130" s="14"/>
    </row>
    <row r="131" spans="2:2" ht="15.75" customHeight="1" x14ac:dyDescent="0.2">
      <c r="B131" s="14"/>
    </row>
    <row r="132" spans="2:2" ht="15.75" customHeight="1" x14ac:dyDescent="0.2">
      <c r="B132" s="14"/>
    </row>
    <row r="133" spans="2:2" ht="15.75" customHeight="1" x14ac:dyDescent="0.2">
      <c r="B133" s="14"/>
    </row>
    <row r="134" spans="2:2" ht="15.75" customHeight="1" x14ac:dyDescent="0.2">
      <c r="B134" s="14"/>
    </row>
    <row r="135" spans="2:2" ht="15.75" customHeight="1" x14ac:dyDescent="0.2">
      <c r="B135" s="14"/>
    </row>
    <row r="136" spans="2:2" ht="15.75" customHeight="1" x14ac:dyDescent="0.2">
      <c r="B136" s="14"/>
    </row>
    <row r="137" spans="2:2" ht="15.75" customHeight="1" x14ac:dyDescent="0.2">
      <c r="B137" s="14"/>
    </row>
    <row r="138" spans="2:2" ht="15.75" customHeight="1" x14ac:dyDescent="0.2">
      <c r="B138" s="14"/>
    </row>
    <row r="139" spans="2:2" ht="15.75" customHeight="1" x14ac:dyDescent="0.2">
      <c r="B139" s="14"/>
    </row>
    <row r="140" spans="2:2" ht="15.75" customHeight="1" x14ac:dyDescent="0.2">
      <c r="B140" s="14"/>
    </row>
    <row r="141" spans="2:2" ht="15.75" customHeight="1" x14ac:dyDescent="0.2">
      <c r="B141" s="14"/>
    </row>
    <row r="142" spans="2:2" ht="15.75" customHeight="1" x14ac:dyDescent="0.2">
      <c r="B142" s="14"/>
    </row>
    <row r="143" spans="2:2" ht="15.75" customHeight="1" x14ac:dyDescent="0.2">
      <c r="B143" s="14"/>
    </row>
    <row r="144" spans="2:2" ht="15.75" customHeight="1" x14ac:dyDescent="0.2">
      <c r="B144" s="14"/>
    </row>
    <row r="145" spans="2:2" ht="15.75" customHeight="1" x14ac:dyDescent="0.2">
      <c r="B145" s="14"/>
    </row>
    <row r="146" spans="2:2" ht="15.75" customHeight="1" x14ac:dyDescent="0.2">
      <c r="B146" s="14"/>
    </row>
    <row r="147" spans="2:2" ht="15.75" customHeight="1" x14ac:dyDescent="0.2">
      <c r="B147" s="14"/>
    </row>
    <row r="148" spans="2:2" ht="15.75" customHeight="1" x14ac:dyDescent="0.2">
      <c r="B148" s="14"/>
    </row>
    <row r="149" spans="2:2" ht="15.75" customHeight="1" x14ac:dyDescent="0.2">
      <c r="B149" s="14"/>
    </row>
    <row r="150" spans="2:2" ht="15.75" customHeight="1" x14ac:dyDescent="0.2">
      <c r="B150" s="14"/>
    </row>
    <row r="151" spans="2:2" ht="15.75" customHeight="1" x14ac:dyDescent="0.2">
      <c r="B151" s="14"/>
    </row>
    <row r="152" spans="2:2" ht="15.75" customHeight="1" x14ac:dyDescent="0.2">
      <c r="B152" s="14"/>
    </row>
    <row r="153" spans="2:2" ht="15.75" customHeight="1" x14ac:dyDescent="0.2">
      <c r="B153" s="14"/>
    </row>
    <row r="154" spans="2:2" ht="15.75" customHeight="1" x14ac:dyDescent="0.2">
      <c r="B154" s="14"/>
    </row>
    <row r="155" spans="2:2" ht="15.75" customHeight="1" x14ac:dyDescent="0.2">
      <c r="B155" s="14"/>
    </row>
    <row r="156" spans="2:2" ht="15.75" customHeight="1" x14ac:dyDescent="0.2">
      <c r="B156" s="14"/>
    </row>
    <row r="157" spans="2:2" ht="15.75" customHeight="1" x14ac:dyDescent="0.2">
      <c r="B157" s="14"/>
    </row>
    <row r="158" spans="2:2" ht="15.75" customHeight="1" x14ac:dyDescent="0.2">
      <c r="B158" s="14"/>
    </row>
    <row r="159" spans="2:2" ht="15.75" customHeight="1" x14ac:dyDescent="0.2">
      <c r="B159" s="14"/>
    </row>
    <row r="160" spans="2:2" ht="15.75" customHeight="1" x14ac:dyDescent="0.2">
      <c r="B160" s="14"/>
    </row>
    <row r="161" spans="2:2" ht="15.75" customHeight="1" x14ac:dyDescent="0.2">
      <c r="B161" s="14"/>
    </row>
    <row r="162" spans="2:2" ht="15.75" customHeight="1" x14ac:dyDescent="0.2">
      <c r="B162" s="14"/>
    </row>
    <row r="163" spans="2:2" ht="15.75" customHeight="1" x14ac:dyDescent="0.2">
      <c r="B163" s="14"/>
    </row>
    <row r="164" spans="2:2" ht="15.75" customHeight="1" x14ac:dyDescent="0.2">
      <c r="B164" s="14"/>
    </row>
    <row r="165" spans="2:2" ht="15.75" customHeight="1" x14ac:dyDescent="0.2">
      <c r="B165" s="14"/>
    </row>
    <row r="166" spans="2:2" ht="15.75" customHeight="1" x14ac:dyDescent="0.2">
      <c r="B166" s="14"/>
    </row>
    <row r="167" spans="2:2" ht="15.75" customHeight="1" x14ac:dyDescent="0.2">
      <c r="B167" s="14"/>
    </row>
    <row r="168" spans="2:2" ht="15.75" customHeight="1" x14ac:dyDescent="0.2">
      <c r="B168" s="14"/>
    </row>
    <row r="169" spans="2:2" ht="15.75" customHeight="1" x14ac:dyDescent="0.2">
      <c r="B169" s="14"/>
    </row>
    <row r="170" spans="2:2" ht="15.75" customHeight="1" x14ac:dyDescent="0.2">
      <c r="B170" s="14"/>
    </row>
    <row r="171" spans="2:2" ht="15.75" customHeight="1" x14ac:dyDescent="0.2">
      <c r="B171" s="14"/>
    </row>
    <row r="172" spans="2:2" ht="15.75" customHeight="1" x14ac:dyDescent="0.2">
      <c r="B172" s="14"/>
    </row>
    <row r="173" spans="2:2" ht="15.75" customHeight="1" x14ac:dyDescent="0.2">
      <c r="B173" s="14"/>
    </row>
    <row r="174" spans="2:2" ht="15.75" customHeight="1" x14ac:dyDescent="0.2">
      <c r="B174" s="14"/>
    </row>
    <row r="175" spans="2:2" ht="15.75" customHeight="1" x14ac:dyDescent="0.2">
      <c r="B175" s="14"/>
    </row>
    <row r="176" spans="2:2" ht="15.75" customHeight="1" x14ac:dyDescent="0.2">
      <c r="B176" s="14"/>
    </row>
    <row r="177" spans="2:2" ht="15.75" customHeight="1" x14ac:dyDescent="0.2">
      <c r="B177" s="14"/>
    </row>
    <row r="178" spans="2:2" ht="15.75" customHeight="1" x14ac:dyDescent="0.2">
      <c r="B178" s="14"/>
    </row>
    <row r="179" spans="2:2" ht="15.75" customHeight="1" x14ac:dyDescent="0.2">
      <c r="B179" s="14"/>
    </row>
    <row r="180" spans="2:2" ht="15.75" customHeight="1" x14ac:dyDescent="0.2">
      <c r="B180" s="14"/>
    </row>
    <row r="181" spans="2:2" ht="15.75" customHeight="1" x14ac:dyDescent="0.2">
      <c r="B181" s="14"/>
    </row>
    <row r="182" spans="2:2" ht="15.75" customHeight="1" x14ac:dyDescent="0.2">
      <c r="B182" s="14"/>
    </row>
    <row r="183" spans="2:2" ht="15.75" customHeight="1" x14ac:dyDescent="0.2">
      <c r="B183" s="14"/>
    </row>
    <row r="184" spans="2:2" ht="15.75" customHeight="1" x14ac:dyDescent="0.2">
      <c r="B184" s="14"/>
    </row>
    <row r="185" spans="2:2" ht="15.75" customHeight="1" x14ac:dyDescent="0.2">
      <c r="B185" s="14"/>
    </row>
    <row r="186" spans="2:2" ht="15.75" customHeight="1" x14ac:dyDescent="0.2">
      <c r="B186" s="14"/>
    </row>
    <row r="187" spans="2:2" ht="15.75" customHeight="1" x14ac:dyDescent="0.2">
      <c r="B187" s="14"/>
    </row>
    <row r="188" spans="2:2" ht="15.75" customHeight="1" x14ac:dyDescent="0.2">
      <c r="B188" s="14"/>
    </row>
    <row r="189" spans="2:2" ht="15.75" customHeight="1" x14ac:dyDescent="0.2">
      <c r="B189" s="14"/>
    </row>
    <row r="190" spans="2:2" ht="15.75" customHeight="1" x14ac:dyDescent="0.2">
      <c r="B190" s="14"/>
    </row>
    <row r="191" spans="2:2" ht="15.75" customHeight="1" x14ac:dyDescent="0.2">
      <c r="B191" s="14"/>
    </row>
    <row r="192" spans="2:2" ht="15.75" customHeight="1" x14ac:dyDescent="0.2">
      <c r="B192" s="14"/>
    </row>
    <row r="193" spans="2:2" ht="15.75" customHeight="1" x14ac:dyDescent="0.2">
      <c r="B193" s="14"/>
    </row>
    <row r="194" spans="2:2" ht="15.75" customHeight="1" x14ac:dyDescent="0.2">
      <c r="B194" s="14"/>
    </row>
    <row r="195" spans="2:2" ht="15.75" customHeight="1" x14ac:dyDescent="0.2">
      <c r="B195" s="14"/>
    </row>
    <row r="196" spans="2:2" ht="15.75" customHeight="1" x14ac:dyDescent="0.2">
      <c r="B196" s="14"/>
    </row>
    <row r="197" spans="2:2" ht="15.75" customHeight="1" x14ac:dyDescent="0.2">
      <c r="B197" s="14"/>
    </row>
    <row r="198" spans="2:2" ht="15.75" customHeight="1" x14ac:dyDescent="0.2">
      <c r="B198" s="14"/>
    </row>
    <row r="199" spans="2:2" ht="15.75" customHeight="1" x14ac:dyDescent="0.2">
      <c r="B199" s="14"/>
    </row>
    <row r="200" spans="2:2" ht="15.75" customHeight="1" x14ac:dyDescent="0.2">
      <c r="B200" s="14"/>
    </row>
    <row r="201" spans="2:2" ht="15.75" customHeight="1" x14ac:dyDescent="0.2">
      <c r="B201" s="14"/>
    </row>
    <row r="202" spans="2:2" ht="15.75" customHeight="1" x14ac:dyDescent="0.2">
      <c r="B202" s="14"/>
    </row>
    <row r="203" spans="2:2" ht="15.75" customHeight="1" x14ac:dyDescent="0.2">
      <c r="B203" s="14"/>
    </row>
    <row r="204" spans="2:2" ht="15.75" customHeight="1" x14ac:dyDescent="0.2">
      <c r="B204" s="14"/>
    </row>
    <row r="205" spans="2:2" ht="15.75" customHeight="1" x14ac:dyDescent="0.2">
      <c r="B205" s="14"/>
    </row>
    <row r="206" spans="2:2" ht="15.75" customHeight="1" x14ac:dyDescent="0.2">
      <c r="B206" s="14"/>
    </row>
    <row r="207" spans="2:2" ht="15.75" customHeight="1" x14ac:dyDescent="0.2">
      <c r="B207" s="14"/>
    </row>
    <row r="208" spans="2:2" ht="15.75" customHeight="1" x14ac:dyDescent="0.2">
      <c r="B208" s="14"/>
    </row>
    <row r="209" spans="2:2" ht="15.75" customHeight="1" x14ac:dyDescent="0.2">
      <c r="B209" s="14"/>
    </row>
    <row r="210" spans="2:2" ht="15.75" customHeight="1" x14ac:dyDescent="0.2">
      <c r="B210" s="14"/>
    </row>
    <row r="211" spans="2:2" ht="15.75" customHeight="1" x14ac:dyDescent="0.2">
      <c r="B211" s="14"/>
    </row>
    <row r="212" spans="2:2" ht="15.75" customHeight="1" x14ac:dyDescent="0.2">
      <c r="B212" s="14"/>
    </row>
    <row r="213" spans="2:2" ht="15.75" customHeight="1" x14ac:dyDescent="0.2">
      <c r="B213" s="14"/>
    </row>
    <row r="214" spans="2:2" ht="15.75" customHeight="1" x14ac:dyDescent="0.2">
      <c r="B214" s="14"/>
    </row>
    <row r="215" spans="2:2" ht="15.75" customHeight="1" x14ac:dyDescent="0.2">
      <c r="B215" s="14"/>
    </row>
    <row r="216" spans="2:2" ht="15.75" customHeight="1" x14ac:dyDescent="0.2">
      <c r="B216" s="14"/>
    </row>
    <row r="217" spans="2:2" ht="15.75" customHeight="1" x14ac:dyDescent="0.2">
      <c r="B217" s="14"/>
    </row>
    <row r="218" spans="2:2" ht="15.75" customHeight="1" x14ac:dyDescent="0.2">
      <c r="B218" s="14"/>
    </row>
    <row r="219" spans="2:2" ht="15.75" customHeight="1" x14ac:dyDescent="0.2">
      <c r="B219" s="14"/>
    </row>
    <row r="220" spans="2:2" ht="15.75" customHeight="1" x14ac:dyDescent="0.2">
      <c r="B220" s="14"/>
    </row>
    <row r="221" spans="2:2" ht="15.75" customHeight="1" x14ac:dyDescent="0.2">
      <c r="B221" s="14"/>
    </row>
    <row r="222" spans="2:2" ht="15.75" customHeight="1" x14ac:dyDescent="0.2">
      <c r="B222" s="14"/>
    </row>
    <row r="223" spans="2:2" ht="15.75" customHeight="1" x14ac:dyDescent="0.2">
      <c r="B223" s="14"/>
    </row>
    <row r="224" spans="2:2" ht="15.75" customHeight="1" x14ac:dyDescent="0.2">
      <c r="B224" s="14"/>
    </row>
    <row r="225" spans="2:2" ht="15.75" customHeight="1" x14ac:dyDescent="0.2">
      <c r="B225" s="14"/>
    </row>
    <row r="226" spans="2:2" ht="15.75" customHeight="1" x14ac:dyDescent="0.2">
      <c r="B226" s="14"/>
    </row>
    <row r="227" spans="2:2" ht="15.75" customHeight="1" x14ac:dyDescent="0.2">
      <c r="B227" s="14"/>
    </row>
    <row r="228" spans="2:2" ht="15.75" customHeight="1" x14ac:dyDescent="0.2">
      <c r="B228" s="14"/>
    </row>
    <row r="229" spans="2:2" ht="15.75" customHeight="1" x14ac:dyDescent="0.2">
      <c r="B229" s="14"/>
    </row>
    <row r="230" spans="2:2" ht="15.75" customHeight="1" x14ac:dyDescent="0.2">
      <c r="B230" s="14"/>
    </row>
    <row r="231" spans="2:2" ht="15.75" customHeight="1" x14ac:dyDescent="0.2">
      <c r="B231" s="14"/>
    </row>
    <row r="232" spans="2:2" ht="15.75" customHeight="1" x14ac:dyDescent="0.2">
      <c r="B232" s="14"/>
    </row>
    <row r="233" spans="2:2" ht="15.75" customHeight="1" x14ac:dyDescent="0.2">
      <c r="B233" s="14"/>
    </row>
    <row r="234" spans="2:2" ht="15.75" customHeight="1" x14ac:dyDescent="0.2">
      <c r="B234" s="14"/>
    </row>
    <row r="235" spans="2:2" ht="15.75" customHeight="1" x14ac:dyDescent="0.2">
      <c r="B235" s="14"/>
    </row>
    <row r="236" spans="2:2" ht="15.75" customHeight="1" x14ac:dyDescent="0.2">
      <c r="B236" s="14"/>
    </row>
    <row r="237" spans="2:2" ht="15.75" customHeight="1" x14ac:dyDescent="0.2">
      <c r="B237" s="14"/>
    </row>
    <row r="238" spans="2:2" ht="15.75" customHeight="1" x14ac:dyDescent="0.2">
      <c r="B238" s="14"/>
    </row>
    <row r="239" spans="2:2" ht="15.75" customHeight="1" x14ac:dyDescent="0.2">
      <c r="B239" s="14"/>
    </row>
    <row r="240" spans="2:2" ht="15.75" customHeight="1" x14ac:dyDescent="0.2">
      <c r="B240" s="14"/>
    </row>
    <row r="241" spans="2:2" ht="15.75" customHeight="1" x14ac:dyDescent="0.2">
      <c r="B241" s="14"/>
    </row>
    <row r="242" spans="2:2" ht="15.75" customHeight="1" x14ac:dyDescent="0.2">
      <c r="B242" s="14"/>
    </row>
    <row r="243" spans="2:2" ht="15.75" customHeight="1" x14ac:dyDescent="0.2">
      <c r="B243" s="14"/>
    </row>
    <row r="244" spans="2:2" ht="15.75" customHeight="1" x14ac:dyDescent="0.2">
      <c r="B244" s="14"/>
    </row>
    <row r="245" spans="2:2" ht="15.75" customHeight="1" x14ac:dyDescent="0.2">
      <c r="B245" s="14"/>
    </row>
    <row r="246" spans="2:2" ht="15.75" customHeight="1" x14ac:dyDescent="0.2">
      <c r="B246" s="14"/>
    </row>
    <row r="247" spans="2:2" ht="15.75" customHeight="1" x14ac:dyDescent="0.2">
      <c r="B247" s="14"/>
    </row>
    <row r="248" spans="2:2" ht="15.75" customHeight="1" x14ac:dyDescent="0.2">
      <c r="B248" s="14"/>
    </row>
    <row r="249" spans="2:2" ht="15.75" customHeight="1" x14ac:dyDescent="0.2">
      <c r="B249" s="14"/>
    </row>
    <row r="250" spans="2:2" ht="15.75" customHeight="1" x14ac:dyDescent="0.2">
      <c r="B250" s="14"/>
    </row>
    <row r="251" spans="2:2" ht="15.75" customHeight="1" x14ac:dyDescent="0.2">
      <c r="B251" s="14"/>
    </row>
    <row r="252" spans="2:2" ht="15.75" customHeight="1" x14ac:dyDescent="0.2">
      <c r="B252" s="14"/>
    </row>
    <row r="253" spans="2:2" ht="15.75" customHeight="1" x14ac:dyDescent="0.2">
      <c r="B253" s="14"/>
    </row>
    <row r="254" spans="2:2" ht="15.75" customHeight="1" x14ac:dyDescent="0.2">
      <c r="B254" s="14"/>
    </row>
    <row r="255" spans="2:2" ht="15.75" customHeight="1" x14ac:dyDescent="0.2">
      <c r="B255" s="14"/>
    </row>
    <row r="256" spans="2:2" ht="15.75" customHeight="1" x14ac:dyDescent="0.2">
      <c r="B256" s="14"/>
    </row>
    <row r="257" spans="2:2" ht="15.75" customHeight="1" x14ac:dyDescent="0.2">
      <c r="B257" s="14"/>
    </row>
    <row r="258" spans="2:2" ht="15.75" customHeight="1" x14ac:dyDescent="0.2">
      <c r="B258" s="14"/>
    </row>
    <row r="259" spans="2:2" ht="15.75" customHeight="1" x14ac:dyDescent="0.2">
      <c r="B259" s="14"/>
    </row>
    <row r="260" spans="2:2" ht="15.75" customHeight="1" x14ac:dyDescent="0.2">
      <c r="B260" s="14"/>
    </row>
    <row r="261" spans="2:2" ht="15.75" customHeight="1" x14ac:dyDescent="0.2">
      <c r="B261" s="14"/>
    </row>
    <row r="262" spans="2:2" ht="15.75" customHeight="1" x14ac:dyDescent="0.2">
      <c r="B262" s="14"/>
    </row>
    <row r="263" spans="2:2" ht="15.75" customHeight="1" x14ac:dyDescent="0.2">
      <c r="B263" s="14"/>
    </row>
    <row r="264" spans="2:2" ht="15.75" customHeight="1" x14ac:dyDescent="0.2">
      <c r="B264" s="14"/>
    </row>
    <row r="265" spans="2:2" ht="15.75" customHeight="1" x14ac:dyDescent="0.2">
      <c r="B265" s="14"/>
    </row>
    <row r="266" spans="2:2" ht="15.75" customHeight="1" x14ac:dyDescent="0.2">
      <c r="B266" s="14"/>
    </row>
    <row r="267" spans="2:2" ht="15.75" customHeight="1" x14ac:dyDescent="0.2">
      <c r="B267" s="14"/>
    </row>
    <row r="268" spans="2:2" ht="15.75" customHeight="1" x14ac:dyDescent="0.2">
      <c r="B268" s="14"/>
    </row>
    <row r="269" spans="2:2" ht="15.75" customHeight="1" x14ac:dyDescent="0.2">
      <c r="B269" s="14"/>
    </row>
    <row r="270" spans="2:2" ht="15.75" customHeight="1" x14ac:dyDescent="0.2">
      <c r="B270" s="14"/>
    </row>
    <row r="271" spans="2:2" ht="15.75" customHeight="1" x14ac:dyDescent="0.2">
      <c r="B271" s="14"/>
    </row>
    <row r="272" spans="2:2" ht="15.75" customHeight="1" x14ac:dyDescent="0.2">
      <c r="B272" s="14"/>
    </row>
    <row r="273" spans="2:2" ht="15.75" customHeight="1" x14ac:dyDescent="0.2">
      <c r="B273" s="14"/>
    </row>
    <row r="274" spans="2:2" ht="15.75" customHeight="1" x14ac:dyDescent="0.2">
      <c r="B274" s="14"/>
    </row>
    <row r="275" spans="2:2" ht="15.75" customHeight="1" x14ac:dyDescent="0.2">
      <c r="B275" s="14"/>
    </row>
    <row r="276" spans="2:2" ht="15.75" customHeight="1" x14ac:dyDescent="0.2">
      <c r="B276" s="14"/>
    </row>
    <row r="277" spans="2:2" ht="15.75" customHeight="1" x14ac:dyDescent="0.2">
      <c r="B277" s="14"/>
    </row>
    <row r="278" spans="2:2" ht="15.75" customHeight="1" x14ac:dyDescent="0.2">
      <c r="B278" s="14"/>
    </row>
    <row r="279" spans="2:2" ht="15.75" customHeight="1" x14ac:dyDescent="0.2">
      <c r="B279" s="14"/>
    </row>
    <row r="280" spans="2:2" ht="15.75" customHeight="1" x14ac:dyDescent="0.2">
      <c r="B280" s="14"/>
    </row>
    <row r="281" spans="2:2" ht="15.75" customHeight="1" x14ac:dyDescent="0.2">
      <c r="B281" s="14"/>
    </row>
    <row r="282" spans="2:2" ht="15.75" customHeight="1" x14ac:dyDescent="0.2">
      <c r="B282" s="14"/>
    </row>
    <row r="283" spans="2:2" ht="15.75" customHeight="1" x14ac:dyDescent="0.2">
      <c r="B283" s="14"/>
    </row>
    <row r="284" spans="2:2" ht="15.75" customHeight="1" x14ac:dyDescent="0.2">
      <c r="B284" s="14"/>
    </row>
    <row r="285" spans="2:2" ht="15.75" customHeight="1" x14ac:dyDescent="0.2">
      <c r="B285" s="14"/>
    </row>
    <row r="286" spans="2:2" ht="15.75" customHeight="1" x14ac:dyDescent="0.2">
      <c r="B286" s="14"/>
    </row>
    <row r="287" spans="2:2" ht="15.75" customHeight="1" x14ac:dyDescent="0.2">
      <c r="B287" s="14"/>
    </row>
    <row r="288" spans="2:2" ht="15.75" customHeight="1" x14ac:dyDescent="0.2">
      <c r="B288" s="14"/>
    </row>
    <row r="289" spans="2:2" ht="15.75" customHeight="1" x14ac:dyDescent="0.2">
      <c r="B289" s="14"/>
    </row>
    <row r="290" spans="2:2" ht="15.75" customHeight="1" x14ac:dyDescent="0.2">
      <c r="B290" s="14"/>
    </row>
    <row r="291" spans="2:2" ht="15.75" customHeight="1" x14ac:dyDescent="0.2">
      <c r="B291" s="14"/>
    </row>
    <row r="292" spans="2:2" ht="15.75" customHeight="1" x14ac:dyDescent="0.2">
      <c r="B292" s="14"/>
    </row>
    <row r="293" spans="2:2" ht="15.75" customHeight="1" x14ac:dyDescent="0.2">
      <c r="B293" s="14"/>
    </row>
    <row r="294" spans="2:2" ht="15.75" customHeight="1" x14ac:dyDescent="0.2">
      <c r="B294" s="14"/>
    </row>
    <row r="295" spans="2:2" ht="15.75" customHeight="1" x14ac:dyDescent="0.2">
      <c r="B295" s="14"/>
    </row>
    <row r="296" spans="2:2" ht="15.75" customHeight="1" x14ac:dyDescent="0.2">
      <c r="B296" s="14"/>
    </row>
    <row r="297" spans="2:2" ht="15.75" customHeight="1" x14ac:dyDescent="0.2">
      <c r="B297" s="14"/>
    </row>
    <row r="298" spans="2:2" ht="15.75" customHeight="1" x14ac:dyDescent="0.2">
      <c r="B298" s="14"/>
    </row>
    <row r="299" spans="2:2" ht="15.75" customHeight="1" x14ac:dyDescent="0.2">
      <c r="B299" s="14"/>
    </row>
    <row r="300" spans="2:2" ht="15.75" customHeight="1" x14ac:dyDescent="0.2">
      <c r="B300" s="14"/>
    </row>
    <row r="301" spans="2:2" ht="15.75" customHeight="1" x14ac:dyDescent="0.2">
      <c r="B301" s="14"/>
    </row>
    <row r="302" spans="2:2" ht="15.75" customHeight="1" x14ac:dyDescent="0.2">
      <c r="B302" s="14"/>
    </row>
    <row r="303" spans="2:2" ht="15.75" customHeight="1" x14ac:dyDescent="0.2">
      <c r="B303" s="14"/>
    </row>
    <row r="304" spans="2:2" ht="15.75" customHeight="1" x14ac:dyDescent="0.2">
      <c r="B304" s="14"/>
    </row>
    <row r="305" spans="2:2" ht="15.75" customHeight="1" x14ac:dyDescent="0.2">
      <c r="B305" s="14"/>
    </row>
    <row r="306" spans="2:2" ht="15.75" customHeight="1" x14ac:dyDescent="0.2">
      <c r="B306" s="14"/>
    </row>
    <row r="307" spans="2:2" ht="15.75" customHeight="1" x14ac:dyDescent="0.2">
      <c r="B307" s="14"/>
    </row>
    <row r="308" spans="2:2" ht="15.75" customHeight="1" x14ac:dyDescent="0.2">
      <c r="B308" s="14"/>
    </row>
    <row r="309" spans="2:2" ht="15.75" customHeight="1" x14ac:dyDescent="0.2">
      <c r="B309" s="14"/>
    </row>
    <row r="310" spans="2:2" ht="15.75" customHeight="1" x14ac:dyDescent="0.2">
      <c r="B310" s="14"/>
    </row>
    <row r="311" spans="2:2" ht="15.75" customHeight="1" x14ac:dyDescent="0.2">
      <c r="B311" s="14"/>
    </row>
    <row r="312" spans="2:2" ht="15.75" customHeight="1" x14ac:dyDescent="0.2">
      <c r="B312" s="14"/>
    </row>
    <row r="313" spans="2:2" ht="15.75" customHeight="1" x14ac:dyDescent="0.2">
      <c r="B313" s="14"/>
    </row>
    <row r="314" spans="2:2" ht="15.75" customHeight="1" x14ac:dyDescent="0.2">
      <c r="B314" s="14"/>
    </row>
    <row r="315" spans="2:2" ht="15.75" customHeight="1" x14ac:dyDescent="0.2">
      <c r="B315" s="14"/>
    </row>
    <row r="316" spans="2:2" ht="15.75" customHeight="1" x14ac:dyDescent="0.2">
      <c r="B316" s="14"/>
    </row>
    <row r="317" spans="2:2" ht="15.75" customHeight="1" x14ac:dyDescent="0.2">
      <c r="B317" s="14"/>
    </row>
    <row r="318" spans="2:2" ht="15.75" customHeight="1" x14ac:dyDescent="0.2">
      <c r="B318" s="14"/>
    </row>
    <row r="319" spans="2:2" ht="15.75" customHeight="1" x14ac:dyDescent="0.2">
      <c r="B319" s="14"/>
    </row>
    <row r="320" spans="2:2" ht="15.75" customHeight="1" x14ac:dyDescent="0.2">
      <c r="B320" s="14"/>
    </row>
    <row r="321" spans="2:2" ht="15.75" customHeight="1" x14ac:dyDescent="0.2">
      <c r="B321" s="14"/>
    </row>
    <row r="322" spans="2:2" ht="15.75" customHeight="1" x14ac:dyDescent="0.2">
      <c r="B322" s="14"/>
    </row>
    <row r="323" spans="2:2" ht="15.75" customHeight="1" x14ac:dyDescent="0.2">
      <c r="B323" s="14"/>
    </row>
    <row r="324" spans="2:2" ht="15.75" customHeight="1" x14ac:dyDescent="0.2">
      <c r="B324" s="14"/>
    </row>
    <row r="325" spans="2:2" ht="15.75" customHeight="1" x14ac:dyDescent="0.2">
      <c r="B325" s="14"/>
    </row>
    <row r="326" spans="2:2" ht="15.75" customHeight="1" x14ac:dyDescent="0.2">
      <c r="B326" s="14"/>
    </row>
    <row r="327" spans="2:2" ht="15.75" customHeight="1" x14ac:dyDescent="0.2">
      <c r="B327" s="14"/>
    </row>
    <row r="328" spans="2:2" ht="15.75" customHeight="1" x14ac:dyDescent="0.2">
      <c r="B328" s="14"/>
    </row>
    <row r="329" spans="2:2" ht="15.75" customHeight="1" x14ac:dyDescent="0.2">
      <c r="B329" s="14"/>
    </row>
    <row r="330" spans="2:2" ht="15.75" customHeight="1" x14ac:dyDescent="0.2">
      <c r="B330" s="14"/>
    </row>
    <row r="331" spans="2:2" ht="15.75" customHeight="1" x14ac:dyDescent="0.2">
      <c r="B331" s="14"/>
    </row>
    <row r="332" spans="2:2" ht="15.75" customHeight="1" x14ac:dyDescent="0.2">
      <c r="B332" s="14"/>
    </row>
    <row r="333" spans="2:2" ht="15.75" customHeight="1" x14ac:dyDescent="0.2">
      <c r="B333" s="14"/>
    </row>
    <row r="334" spans="2:2" ht="15.75" customHeight="1" x14ac:dyDescent="0.2">
      <c r="B334" s="14"/>
    </row>
    <row r="335" spans="2:2" ht="15.75" customHeight="1" x14ac:dyDescent="0.2">
      <c r="B335" s="14"/>
    </row>
    <row r="336" spans="2:2" ht="15.75" customHeight="1" x14ac:dyDescent="0.2">
      <c r="B336" s="14"/>
    </row>
    <row r="337" spans="2:2" ht="15.75" customHeight="1" x14ac:dyDescent="0.2">
      <c r="B337" s="14"/>
    </row>
    <row r="338" spans="2:2" ht="15.75" customHeight="1" x14ac:dyDescent="0.2">
      <c r="B338" s="14"/>
    </row>
    <row r="339" spans="2:2" ht="15.75" customHeight="1" x14ac:dyDescent="0.2">
      <c r="B339" s="14"/>
    </row>
    <row r="340" spans="2:2" ht="15.75" customHeight="1" x14ac:dyDescent="0.2">
      <c r="B340" s="14"/>
    </row>
    <row r="341" spans="2:2" ht="15.75" customHeight="1" x14ac:dyDescent="0.2">
      <c r="B341" s="14"/>
    </row>
    <row r="342" spans="2:2" ht="15.75" customHeight="1" x14ac:dyDescent="0.2">
      <c r="B342" s="14"/>
    </row>
    <row r="343" spans="2:2" ht="15.75" customHeight="1" x14ac:dyDescent="0.2">
      <c r="B343" s="14"/>
    </row>
    <row r="344" spans="2:2" ht="15.75" customHeight="1" x14ac:dyDescent="0.2">
      <c r="B344" s="14"/>
    </row>
    <row r="345" spans="2:2" ht="15.75" customHeight="1" x14ac:dyDescent="0.2">
      <c r="B345" s="14"/>
    </row>
    <row r="346" spans="2:2" ht="15.75" customHeight="1" x14ac:dyDescent="0.2">
      <c r="B346" s="14"/>
    </row>
    <row r="347" spans="2:2" ht="15.75" customHeight="1" x14ac:dyDescent="0.2">
      <c r="B347" s="14"/>
    </row>
    <row r="348" spans="2:2" ht="15.75" customHeight="1" x14ac:dyDescent="0.2">
      <c r="B348" s="14"/>
    </row>
    <row r="349" spans="2:2" ht="15.75" customHeight="1" x14ac:dyDescent="0.2">
      <c r="B349" s="14"/>
    </row>
    <row r="350" spans="2:2" ht="15.75" customHeight="1" x14ac:dyDescent="0.2">
      <c r="B350" s="14"/>
    </row>
    <row r="351" spans="2:2" ht="15.75" customHeight="1" x14ac:dyDescent="0.2">
      <c r="B351" s="14"/>
    </row>
    <row r="352" spans="2:2" ht="15.75" customHeight="1" x14ac:dyDescent="0.2">
      <c r="B352" s="14"/>
    </row>
    <row r="353" spans="2:2" ht="15.75" customHeight="1" x14ac:dyDescent="0.2">
      <c r="B353" s="14"/>
    </row>
    <row r="354" spans="2:2" ht="15.75" customHeight="1" x14ac:dyDescent="0.2">
      <c r="B354" s="14"/>
    </row>
    <row r="355" spans="2:2" ht="15.75" customHeight="1" x14ac:dyDescent="0.2">
      <c r="B355" s="14"/>
    </row>
    <row r="356" spans="2:2" ht="15.75" customHeight="1" x14ac:dyDescent="0.2">
      <c r="B356" s="14"/>
    </row>
    <row r="357" spans="2:2" ht="15.75" customHeight="1" x14ac:dyDescent="0.2">
      <c r="B357" s="14"/>
    </row>
    <row r="358" spans="2:2" ht="15.75" customHeight="1" x14ac:dyDescent="0.2">
      <c r="B358" s="14"/>
    </row>
    <row r="359" spans="2:2" ht="15.75" customHeight="1" x14ac:dyDescent="0.2">
      <c r="B359" s="14"/>
    </row>
    <row r="360" spans="2:2" ht="15.75" customHeight="1" x14ac:dyDescent="0.2">
      <c r="B360" s="14"/>
    </row>
    <row r="361" spans="2:2" ht="15.75" customHeight="1" x14ac:dyDescent="0.2">
      <c r="B361" s="14"/>
    </row>
    <row r="362" spans="2:2" ht="15.75" customHeight="1" x14ac:dyDescent="0.2">
      <c r="B362" s="14"/>
    </row>
    <row r="363" spans="2:2" ht="15.75" customHeight="1" x14ac:dyDescent="0.2">
      <c r="B363" s="14"/>
    </row>
    <row r="364" spans="2:2" ht="15.75" customHeight="1" x14ac:dyDescent="0.2">
      <c r="B364" s="14"/>
    </row>
    <row r="365" spans="2:2" ht="15.75" customHeight="1" x14ac:dyDescent="0.2">
      <c r="B365" s="14"/>
    </row>
    <row r="366" spans="2:2" ht="15.75" customHeight="1" x14ac:dyDescent="0.2">
      <c r="B366" s="14"/>
    </row>
    <row r="367" spans="2:2" ht="15.75" customHeight="1" x14ac:dyDescent="0.2">
      <c r="B367" s="14"/>
    </row>
    <row r="368" spans="2:2" ht="15.75" customHeight="1" x14ac:dyDescent="0.2">
      <c r="B368" s="14"/>
    </row>
    <row r="369" spans="2:2" ht="15.75" customHeight="1" x14ac:dyDescent="0.2">
      <c r="B369" s="14"/>
    </row>
    <row r="370" spans="2:2" ht="15.75" customHeight="1" x14ac:dyDescent="0.2">
      <c r="B370" s="14"/>
    </row>
    <row r="371" spans="2:2" ht="15.75" customHeight="1" x14ac:dyDescent="0.2">
      <c r="B371" s="14"/>
    </row>
    <row r="372" spans="2:2" ht="15.75" customHeight="1" x14ac:dyDescent="0.2">
      <c r="B372" s="14"/>
    </row>
    <row r="373" spans="2:2" ht="15.75" customHeight="1" x14ac:dyDescent="0.2">
      <c r="B373" s="14"/>
    </row>
    <row r="374" spans="2:2" ht="15.75" customHeight="1" x14ac:dyDescent="0.2">
      <c r="B374" s="14"/>
    </row>
    <row r="375" spans="2:2" ht="15.75" customHeight="1" x14ac:dyDescent="0.2">
      <c r="B375" s="14"/>
    </row>
    <row r="376" spans="2:2" ht="15.75" customHeight="1" x14ac:dyDescent="0.2">
      <c r="B376" s="14"/>
    </row>
    <row r="377" spans="2:2" ht="15.75" customHeight="1" x14ac:dyDescent="0.2">
      <c r="B377" s="14"/>
    </row>
    <row r="378" spans="2:2" ht="15.75" customHeight="1" x14ac:dyDescent="0.2">
      <c r="B378" s="14"/>
    </row>
    <row r="379" spans="2:2" ht="15.75" customHeight="1" x14ac:dyDescent="0.2">
      <c r="B379" s="14"/>
    </row>
    <row r="380" spans="2:2" ht="15.75" customHeight="1" x14ac:dyDescent="0.2">
      <c r="B380" s="14"/>
    </row>
    <row r="381" spans="2:2" ht="15.75" customHeight="1" x14ac:dyDescent="0.2">
      <c r="B381" s="14"/>
    </row>
    <row r="382" spans="2:2" ht="15.75" customHeight="1" x14ac:dyDescent="0.2">
      <c r="B382" s="14"/>
    </row>
    <row r="383" spans="2:2" ht="15.75" customHeight="1" x14ac:dyDescent="0.2">
      <c r="B383" s="14"/>
    </row>
    <row r="384" spans="2:2" ht="15.75" customHeight="1" x14ac:dyDescent="0.2">
      <c r="B384" s="14"/>
    </row>
    <row r="385" spans="2:2" ht="15.75" customHeight="1" x14ac:dyDescent="0.2">
      <c r="B385" s="14"/>
    </row>
    <row r="386" spans="2:2" ht="15.75" customHeight="1" x14ac:dyDescent="0.2">
      <c r="B386" s="14"/>
    </row>
    <row r="387" spans="2:2" ht="15.75" customHeight="1" x14ac:dyDescent="0.2">
      <c r="B387" s="14"/>
    </row>
    <row r="388" spans="2:2" ht="15.75" customHeight="1" x14ac:dyDescent="0.2">
      <c r="B388" s="14"/>
    </row>
    <row r="389" spans="2:2" ht="15.75" customHeight="1" x14ac:dyDescent="0.2">
      <c r="B389" s="14"/>
    </row>
    <row r="390" spans="2:2" ht="15.75" customHeight="1" x14ac:dyDescent="0.2">
      <c r="B390" s="14"/>
    </row>
    <row r="391" spans="2:2" ht="15.75" customHeight="1" x14ac:dyDescent="0.2">
      <c r="B391" s="14"/>
    </row>
    <row r="392" spans="2:2" ht="15.75" customHeight="1" x14ac:dyDescent="0.2">
      <c r="B392" s="14"/>
    </row>
    <row r="393" spans="2:2" ht="15.75" customHeight="1" x14ac:dyDescent="0.2">
      <c r="B393" s="14"/>
    </row>
    <row r="394" spans="2:2" ht="15.75" customHeight="1" x14ac:dyDescent="0.2">
      <c r="B394" s="14"/>
    </row>
    <row r="395" spans="2:2" ht="15.75" customHeight="1" x14ac:dyDescent="0.2">
      <c r="B395" s="14"/>
    </row>
    <row r="396" spans="2:2" ht="15.75" customHeight="1" x14ac:dyDescent="0.2">
      <c r="B396" s="14"/>
    </row>
    <row r="397" spans="2:2" ht="15.75" customHeight="1" x14ac:dyDescent="0.2">
      <c r="B397" s="14"/>
    </row>
    <row r="398" spans="2:2" ht="15.75" customHeight="1" x14ac:dyDescent="0.2">
      <c r="B398" s="14"/>
    </row>
    <row r="399" spans="2:2" ht="15.75" customHeight="1" x14ac:dyDescent="0.2">
      <c r="B399" s="14"/>
    </row>
    <row r="400" spans="2:2" ht="15.75" customHeight="1" x14ac:dyDescent="0.2">
      <c r="B400" s="14"/>
    </row>
    <row r="401" spans="2:2" ht="15.75" customHeight="1" x14ac:dyDescent="0.2">
      <c r="B401" s="14"/>
    </row>
    <row r="402" spans="2:2" ht="15.75" customHeight="1" x14ac:dyDescent="0.2">
      <c r="B402" s="14"/>
    </row>
    <row r="403" spans="2:2" ht="15.75" customHeight="1" x14ac:dyDescent="0.2">
      <c r="B403" s="14"/>
    </row>
    <row r="404" spans="2:2" ht="15.75" customHeight="1" x14ac:dyDescent="0.2">
      <c r="B404" s="14"/>
    </row>
    <row r="405" spans="2:2" ht="15.75" customHeight="1" x14ac:dyDescent="0.2">
      <c r="B405" s="14"/>
    </row>
    <row r="406" spans="2:2" ht="15.75" customHeight="1" x14ac:dyDescent="0.2">
      <c r="B406" s="14"/>
    </row>
    <row r="407" spans="2:2" ht="15.75" customHeight="1" x14ac:dyDescent="0.2">
      <c r="B407" s="14"/>
    </row>
    <row r="408" spans="2:2" ht="15.75" customHeight="1" x14ac:dyDescent="0.2">
      <c r="B408" s="14"/>
    </row>
    <row r="409" spans="2:2" ht="15.75" customHeight="1" x14ac:dyDescent="0.2">
      <c r="B409" s="14"/>
    </row>
    <row r="410" spans="2:2" ht="15.75" customHeight="1" x14ac:dyDescent="0.2">
      <c r="B410" s="14"/>
    </row>
    <row r="411" spans="2:2" ht="15.75" customHeight="1" x14ac:dyDescent="0.2">
      <c r="B411" s="14"/>
    </row>
    <row r="412" spans="2:2" ht="15.75" customHeight="1" x14ac:dyDescent="0.2">
      <c r="B412" s="14"/>
    </row>
    <row r="413" spans="2:2" ht="15.75" customHeight="1" x14ac:dyDescent="0.2">
      <c r="B413" s="14"/>
    </row>
    <row r="414" spans="2:2" ht="15.75" customHeight="1" x14ac:dyDescent="0.2">
      <c r="B414" s="14"/>
    </row>
    <row r="415" spans="2:2" ht="15.75" customHeight="1" x14ac:dyDescent="0.2">
      <c r="B415" s="14"/>
    </row>
    <row r="416" spans="2:2" ht="15.75" customHeight="1" x14ac:dyDescent="0.2">
      <c r="B416" s="14"/>
    </row>
    <row r="417" spans="2:2" ht="15.75" customHeight="1" x14ac:dyDescent="0.2">
      <c r="B417" s="14"/>
    </row>
    <row r="418" spans="2:2" ht="15.75" customHeight="1" x14ac:dyDescent="0.2">
      <c r="B418" s="14"/>
    </row>
    <row r="419" spans="2:2" ht="15.75" customHeight="1" x14ac:dyDescent="0.2">
      <c r="B419" s="14"/>
    </row>
    <row r="420" spans="2:2" ht="15.75" customHeight="1" x14ac:dyDescent="0.2">
      <c r="B420" s="14"/>
    </row>
    <row r="421" spans="2:2" ht="15.75" customHeight="1" x14ac:dyDescent="0.2">
      <c r="B421" s="14"/>
    </row>
    <row r="422" spans="2:2" ht="15.75" customHeight="1" x14ac:dyDescent="0.2">
      <c r="B422" s="14"/>
    </row>
    <row r="423" spans="2:2" ht="15.75" customHeight="1" x14ac:dyDescent="0.2">
      <c r="B423" s="14"/>
    </row>
    <row r="424" spans="2:2" ht="15.75" customHeight="1" x14ac:dyDescent="0.2">
      <c r="B424" s="14"/>
    </row>
    <row r="425" spans="2:2" ht="15.75" customHeight="1" x14ac:dyDescent="0.2">
      <c r="B425" s="14"/>
    </row>
    <row r="426" spans="2:2" ht="15.75" customHeight="1" x14ac:dyDescent="0.2">
      <c r="B426" s="14"/>
    </row>
    <row r="427" spans="2:2" ht="15.75" customHeight="1" x14ac:dyDescent="0.2">
      <c r="B427" s="14"/>
    </row>
    <row r="428" spans="2:2" ht="15.75" customHeight="1" x14ac:dyDescent="0.2">
      <c r="B428" s="14"/>
    </row>
    <row r="429" spans="2:2" ht="15.75" customHeight="1" x14ac:dyDescent="0.2">
      <c r="B429" s="14"/>
    </row>
    <row r="430" spans="2:2" ht="15.75" customHeight="1" x14ac:dyDescent="0.2">
      <c r="B430" s="14"/>
    </row>
    <row r="431" spans="2:2" ht="15.75" customHeight="1" x14ac:dyDescent="0.2">
      <c r="B431" s="14"/>
    </row>
    <row r="432" spans="2:2" ht="15.75" customHeight="1" x14ac:dyDescent="0.2">
      <c r="B432" s="14"/>
    </row>
    <row r="433" spans="2:2" ht="15.75" customHeight="1" x14ac:dyDescent="0.2">
      <c r="B433" s="14"/>
    </row>
    <row r="434" spans="2:2" ht="15.75" customHeight="1" x14ac:dyDescent="0.2">
      <c r="B434" s="14"/>
    </row>
    <row r="435" spans="2:2" ht="15.75" customHeight="1" x14ac:dyDescent="0.2">
      <c r="B435" s="14"/>
    </row>
    <row r="436" spans="2:2" ht="15.75" customHeight="1" x14ac:dyDescent="0.2">
      <c r="B436" s="14"/>
    </row>
    <row r="437" spans="2:2" ht="15.75" customHeight="1" x14ac:dyDescent="0.2">
      <c r="B437" s="14"/>
    </row>
    <row r="438" spans="2:2" ht="15.75" customHeight="1" x14ac:dyDescent="0.2">
      <c r="B438" s="14"/>
    </row>
    <row r="439" spans="2:2" ht="15.75" customHeight="1" x14ac:dyDescent="0.2">
      <c r="B439" s="14"/>
    </row>
    <row r="440" spans="2:2" ht="15.75" customHeight="1" x14ac:dyDescent="0.2">
      <c r="B440" s="14"/>
    </row>
    <row r="441" spans="2:2" ht="15.75" customHeight="1" x14ac:dyDescent="0.2">
      <c r="B441" s="14"/>
    </row>
    <row r="442" spans="2:2" ht="15.75" customHeight="1" x14ac:dyDescent="0.2">
      <c r="B442" s="14"/>
    </row>
    <row r="443" spans="2:2" ht="15.75" customHeight="1" x14ac:dyDescent="0.2">
      <c r="B443" s="14"/>
    </row>
    <row r="444" spans="2:2" ht="15.75" customHeight="1" x14ac:dyDescent="0.2">
      <c r="B444" s="14"/>
    </row>
    <row r="445" spans="2:2" ht="15.75" customHeight="1" x14ac:dyDescent="0.2">
      <c r="B445" s="14"/>
    </row>
    <row r="446" spans="2:2" ht="15.75" customHeight="1" x14ac:dyDescent="0.2">
      <c r="B446" s="14"/>
    </row>
    <row r="447" spans="2:2" ht="15.75" customHeight="1" x14ac:dyDescent="0.2">
      <c r="B447" s="14"/>
    </row>
    <row r="448" spans="2:2" ht="15.75" customHeight="1" x14ac:dyDescent="0.2">
      <c r="B448" s="14"/>
    </row>
    <row r="449" spans="2:2" ht="15.75" customHeight="1" x14ac:dyDescent="0.2">
      <c r="B449" s="14"/>
    </row>
    <row r="450" spans="2:2" ht="15.75" customHeight="1" x14ac:dyDescent="0.2">
      <c r="B450" s="14"/>
    </row>
    <row r="451" spans="2:2" ht="15.75" customHeight="1" x14ac:dyDescent="0.2">
      <c r="B451" s="14"/>
    </row>
    <row r="452" spans="2:2" ht="15.75" customHeight="1" x14ac:dyDescent="0.2">
      <c r="B452" s="14"/>
    </row>
    <row r="453" spans="2:2" ht="15.75" customHeight="1" x14ac:dyDescent="0.2">
      <c r="B453" s="14"/>
    </row>
    <row r="454" spans="2:2" ht="15.75" customHeight="1" x14ac:dyDescent="0.2">
      <c r="B454" s="14"/>
    </row>
    <row r="455" spans="2:2" ht="15.75" customHeight="1" x14ac:dyDescent="0.2">
      <c r="B455" s="14"/>
    </row>
    <row r="456" spans="2:2" ht="15.75" customHeight="1" x14ac:dyDescent="0.2">
      <c r="B456" s="14"/>
    </row>
    <row r="457" spans="2:2" ht="15.75" customHeight="1" x14ac:dyDescent="0.2">
      <c r="B457" s="14"/>
    </row>
    <row r="458" spans="2:2" ht="15.75" customHeight="1" x14ac:dyDescent="0.2">
      <c r="B458" s="14"/>
    </row>
    <row r="459" spans="2:2" ht="15.75" customHeight="1" x14ac:dyDescent="0.2">
      <c r="B459" s="14"/>
    </row>
    <row r="460" spans="2:2" ht="15.75" customHeight="1" x14ac:dyDescent="0.2">
      <c r="B460" s="14"/>
    </row>
    <row r="461" spans="2:2" ht="15.75" customHeight="1" x14ac:dyDescent="0.2">
      <c r="B461" s="14"/>
    </row>
    <row r="462" spans="2:2" ht="15.75" customHeight="1" x14ac:dyDescent="0.2">
      <c r="B462" s="14"/>
    </row>
    <row r="463" spans="2:2" ht="15.75" customHeight="1" x14ac:dyDescent="0.2">
      <c r="B463" s="14"/>
    </row>
    <row r="464" spans="2:2" ht="15.75" customHeight="1" x14ac:dyDescent="0.2">
      <c r="B464" s="14"/>
    </row>
    <row r="465" spans="2:2" ht="15.75" customHeight="1" x14ac:dyDescent="0.2">
      <c r="B465" s="14"/>
    </row>
    <row r="466" spans="2:2" ht="15.75" customHeight="1" x14ac:dyDescent="0.2">
      <c r="B466" s="14"/>
    </row>
    <row r="467" spans="2:2" ht="15.75" customHeight="1" x14ac:dyDescent="0.2">
      <c r="B467" s="14"/>
    </row>
    <row r="468" spans="2:2" ht="15.75" customHeight="1" x14ac:dyDescent="0.2">
      <c r="B468" s="14"/>
    </row>
    <row r="469" spans="2:2" ht="15.75" customHeight="1" x14ac:dyDescent="0.2">
      <c r="B469" s="14"/>
    </row>
    <row r="470" spans="2:2" ht="15.75" customHeight="1" x14ac:dyDescent="0.2">
      <c r="B470" s="14"/>
    </row>
    <row r="471" spans="2:2" ht="15.75" customHeight="1" x14ac:dyDescent="0.2">
      <c r="B471" s="14"/>
    </row>
    <row r="472" spans="2:2" ht="15.75" customHeight="1" x14ac:dyDescent="0.2">
      <c r="B472" s="14"/>
    </row>
    <row r="473" spans="2:2" ht="15.75" customHeight="1" x14ac:dyDescent="0.2">
      <c r="B473" s="14"/>
    </row>
    <row r="474" spans="2:2" ht="15.75" customHeight="1" x14ac:dyDescent="0.2">
      <c r="B474" s="14"/>
    </row>
    <row r="475" spans="2:2" ht="15.75" customHeight="1" x14ac:dyDescent="0.2">
      <c r="B475" s="14"/>
    </row>
    <row r="476" spans="2:2" ht="15.75" customHeight="1" x14ac:dyDescent="0.2">
      <c r="B476" s="14"/>
    </row>
    <row r="477" spans="2:2" ht="15.75" customHeight="1" x14ac:dyDescent="0.2">
      <c r="B477" s="14"/>
    </row>
    <row r="478" spans="2:2" ht="15.75" customHeight="1" x14ac:dyDescent="0.2">
      <c r="B478" s="14"/>
    </row>
    <row r="479" spans="2:2" ht="15.75" customHeight="1" x14ac:dyDescent="0.2">
      <c r="B479" s="14"/>
    </row>
    <row r="480" spans="2:2" ht="15.75" customHeight="1" x14ac:dyDescent="0.2">
      <c r="B480" s="14"/>
    </row>
    <row r="481" spans="2:2" ht="15.75" customHeight="1" x14ac:dyDescent="0.2">
      <c r="B481" s="14"/>
    </row>
    <row r="482" spans="2:2" ht="15.75" customHeight="1" x14ac:dyDescent="0.2">
      <c r="B482" s="14"/>
    </row>
    <row r="483" spans="2:2" ht="15.75" customHeight="1" x14ac:dyDescent="0.2">
      <c r="B483" s="14"/>
    </row>
    <row r="484" spans="2:2" ht="15.75" customHeight="1" x14ac:dyDescent="0.2">
      <c r="B484" s="14"/>
    </row>
    <row r="485" spans="2:2" ht="15.75" customHeight="1" x14ac:dyDescent="0.2">
      <c r="B485" s="14"/>
    </row>
    <row r="486" spans="2:2" ht="15.75" customHeight="1" x14ac:dyDescent="0.2">
      <c r="B486" s="14"/>
    </row>
    <row r="487" spans="2:2" ht="15.75" customHeight="1" x14ac:dyDescent="0.2">
      <c r="B487" s="14"/>
    </row>
    <row r="488" spans="2:2" ht="15.75" customHeight="1" x14ac:dyDescent="0.2">
      <c r="B488" s="14"/>
    </row>
    <row r="489" spans="2:2" ht="15.75" customHeight="1" x14ac:dyDescent="0.2">
      <c r="B489" s="14"/>
    </row>
    <row r="490" spans="2:2" ht="15.75" customHeight="1" x14ac:dyDescent="0.2">
      <c r="B490" s="14"/>
    </row>
    <row r="491" spans="2:2" ht="15.75" customHeight="1" x14ac:dyDescent="0.2">
      <c r="B491" s="14"/>
    </row>
    <row r="492" spans="2:2" ht="15.75" customHeight="1" x14ac:dyDescent="0.2">
      <c r="B492" s="14"/>
    </row>
    <row r="493" spans="2:2" ht="15.75" customHeight="1" x14ac:dyDescent="0.2">
      <c r="B493" s="14"/>
    </row>
    <row r="494" spans="2:2" ht="15.75" customHeight="1" x14ac:dyDescent="0.2">
      <c r="B494" s="14"/>
    </row>
    <row r="495" spans="2:2" ht="15.75" customHeight="1" x14ac:dyDescent="0.2">
      <c r="B495" s="14"/>
    </row>
    <row r="496" spans="2:2" ht="15.75" customHeight="1" x14ac:dyDescent="0.2">
      <c r="B496" s="14"/>
    </row>
    <row r="497" spans="2:2" ht="15.75" customHeight="1" x14ac:dyDescent="0.2">
      <c r="B497" s="14"/>
    </row>
    <row r="498" spans="2:2" ht="15.75" customHeight="1" x14ac:dyDescent="0.2">
      <c r="B498" s="14"/>
    </row>
    <row r="499" spans="2:2" ht="15.75" customHeight="1" x14ac:dyDescent="0.2">
      <c r="B499" s="14"/>
    </row>
    <row r="500" spans="2:2" ht="15.75" customHeight="1" x14ac:dyDescent="0.2">
      <c r="B500" s="14"/>
    </row>
    <row r="501" spans="2:2" ht="15.75" customHeight="1" x14ac:dyDescent="0.2">
      <c r="B501" s="14"/>
    </row>
    <row r="502" spans="2:2" ht="15.75" customHeight="1" x14ac:dyDescent="0.2">
      <c r="B502" s="14"/>
    </row>
    <row r="503" spans="2:2" ht="15.75" customHeight="1" x14ac:dyDescent="0.2">
      <c r="B503" s="14"/>
    </row>
    <row r="504" spans="2:2" ht="15.75" customHeight="1" x14ac:dyDescent="0.2">
      <c r="B504" s="14"/>
    </row>
    <row r="505" spans="2:2" ht="15.75" customHeight="1" x14ac:dyDescent="0.2">
      <c r="B505" s="14"/>
    </row>
    <row r="506" spans="2:2" ht="15.75" customHeight="1" x14ac:dyDescent="0.2">
      <c r="B506" s="14"/>
    </row>
    <row r="507" spans="2:2" ht="15.75" customHeight="1" x14ac:dyDescent="0.2">
      <c r="B507" s="14"/>
    </row>
    <row r="508" spans="2:2" ht="15.75" customHeight="1" x14ac:dyDescent="0.2">
      <c r="B508" s="14"/>
    </row>
    <row r="509" spans="2:2" ht="15.75" customHeight="1" x14ac:dyDescent="0.2">
      <c r="B509" s="14"/>
    </row>
    <row r="510" spans="2:2" ht="15.75" customHeight="1" x14ac:dyDescent="0.2">
      <c r="B510" s="14"/>
    </row>
    <row r="511" spans="2:2" ht="15.75" customHeight="1" x14ac:dyDescent="0.2">
      <c r="B511" s="14"/>
    </row>
    <row r="512" spans="2:2" ht="15.75" customHeight="1" x14ac:dyDescent="0.2">
      <c r="B512" s="14"/>
    </row>
    <row r="513" spans="2:2" ht="15.75" customHeight="1" x14ac:dyDescent="0.2">
      <c r="B513" s="14"/>
    </row>
    <row r="514" spans="2:2" ht="15.75" customHeight="1" x14ac:dyDescent="0.2">
      <c r="B514" s="14"/>
    </row>
    <row r="515" spans="2:2" ht="15.75" customHeight="1" x14ac:dyDescent="0.2">
      <c r="B515" s="14"/>
    </row>
    <row r="516" spans="2:2" ht="15.75" customHeight="1" x14ac:dyDescent="0.2">
      <c r="B516" s="14"/>
    </row>
    <row r="517" spans="2:2" ht="15.75" customHeight="1" x14ac:dyDescent="0.2">
      <c r="B517" s="14"/>
    </row>
    <row r="518" spans="2:2" ht="15.75" customHeight="1" x14ac:dyDescent="0.2">
      <c r="B518" s="14"/>
    </row>
    <row r="519" spans="2:2" ht="15.75" customHeight="1" x14ac:dyDescent="0.2">
      <c r="B519" s="14"/>
    </row>
    <row r="520" spans="2:2" ht="15.75" customHeight="1" x14ac:dyDescent="0.2">
      <c r="B520" s="14"/>
    </row>
    <row r="521" spans="2:2" ht="15.75" customHeight="1" x14ac:dyDescent="0.2">
      <c r="B521" s="14"/>
    </row>
    <row r="522" spans="2:2" ht="15.75" customHeight="1" x14ac:dyDescent="0.2">
      <c r="B522" s="14"/>
    </row>
    <row r="523" spans="2:2" ht="15.75" customHeight="1" x14ac:dyDescent="0.2">
      <c r="B523" s="14"/>
    </row>
    <row r="524" spans="2:2" ht="15.75" customHeight="1" x14ac:dyDescent="0.2">
      <c r="B524" s="14"/>
    </row>
    <row r="525" spans="2:2" ht="15.75" customHeight="1" x14ac:dyDescent="0.2">
      <c r="B525" s="14"/>
    </row>
    <row r="526" spans="2:2" ht="15.75" customHeight="1" x14ac:dyDescent="0.2">
      <c r="B526" s="14"/>
    </row>
    <row r="527" spans="2:2" ht="15.75" customHeight="1" x14ac:dyDescent="0.2">
      <c r="B527" s="14"/>
    </row>
    <row r="528" spans="2:2" ht="15.75" customHeight="1" x14ac:dyDescent="0.2">
      <c r="B528" s="14"/>
    </row>
    <row r="529" spans="2:2" ht="15.75" customHeight="1" x14ac:dyDescent="0.2">
      <c r="B529" s="14"/>
    </row>
    <row r="530" spans="2:2" ht="15.75" customHeight="1" x14ac:dyDescent="0.2">
      <c r="B530" s="14"/>
    </row>
    <row r="531" spans="2:2" ht="15.75" customHeight="1" x14ac:dyDescent="0.2">
      <c r="B531" s="14"/>
    </row>
    <row r="532" spans="2:2" ht="15.75" customHeight="1" x14ac:dyDescent="0.2">
      <c r="B532" s="14"/>
    </row>
    <row r="533" spans="2:2" ht="15.75" customHeight="1" x14ac:dyDescent="0.2">
      <c r="B533" s="14"/>
    </row>
    <row r="534" spans="2:2" ht="15.75" customHeight="1" x14ac:dyDescent="0.2">
      <c r="B534" s="14"/>
    </row>
    <row r="535" spans="2:2" ht="15.75" customHeight="1" x14ac:dyDescent="0.2">
      <c r="B535" s="14"/>
    </row>
    <row r="536" spans="2:2" ht="15.75" customHeight="1" x14ac:dyDescent="0.2">
      <c r="B536" s="14"/>
    </row>
    <row r="537" spans="2:2" ht="15.75" customHeight="1" x14ac:dyDescent="0.2">
      <c r="B537" s="14"/>
    </row>
    <row r="538" spans="2:2" ht="15.75" customHeight="1" x14ac:dyDescent="0.2">
      <c r="B538" s="14"/>
    </row>
    <row r="539" spans="2:2" ht="15.75" customHeight="1" x14ac:dyDescent="0.2">
      <c r="B539" s="14"/>
    </row>
    <row r="540" spans="2:2" ht="15.75" customHeight="1" x14ac:dyDescent="0.2">
      <c r="B540" s="14"/>
    </row>
    <row r="541" spans="2:2" ht="15.75" customHeight="1" x14ac:dyDescent="0.2">
      <c r="B541" s="14"/>
    </row>
    <row r="542" spans="2:2" ht="15.75" customHeight="1" x14ac:dyDescent="0.2">
      <c r="B542" s="14"/>
    </row>
    <row r="543" spans="2:2" ht="15.75" customHeight="1" x14ac:dyDescent="0.2">
      <c r="B543" s="14"/>
    </row>
    <row r="544" spans="2:2" ht="15.75" customHeight="1" x14ac:dyDescent="0.2">
      <c r="B544" s="14"/>
    </row>
    <row r="545" spans="2:2" ht="15.75" customHeight="1" x14ac:dyDescent="0.2">
      <c r="B545" s="14"/>
    </row>
    <row r="546" spans="2:2" ht="15.75" customHeight="1" x14ac:dyDescent="0.2">
      <c r="B546" s="14"/>
    </row>
    <row r="547" spans="2:2" ht="15.75" customHeight="1" x14ac:dyDescent="0.2">
      <c r="B547" s="14"/>
    </row>
    <row r="548" spans="2:2" ht="15.75" customHeight="1" x14ac:dyDescent="0.2">
      <c r="B548" s="14"/>
    </row>
    <row r="549" spans="2:2" ht="15.75" customHeight="1" x14ac:dyDescent="0.2">
      <c r="B549" s="14"/>
    </row>
    <row r="550" spans="2:2" ht="15.75" customHeight="1" x14ac:dyDescent="0.2">
      <c r="B550" s="14"/>
    </row>
    <row r="551" spans="2:2" ht="15.75" customHeight="1" x14ac:dyDescent="0.2">
      <c r="B551" s="14"/>
    </row>
    <row r="552" spans="2:2" ht="15.75" customHeight="1" x14ac:dyDescent="0.2">
      <c r="B552" s="14"/>
    </row>
    <row r="553" spans="2:2" ht="15.75" customHeight="1" x14ac:dyDescent="0.2">
      <c r="B553" s="14"/>
    </row>
    <row r="554" spans="2:2" ht="15.75" customHeight="1" x14ac:dyDescent="0.2">
      <c r="B554" s="14"/>
    </row>
    <row r="555" spans="2:2" ht="15.75" customHeight="1" x14ac:dyDescent="0.2">
      <c r="B555" s="14"/>
    </row>
    <row r="556" spans="2:2" ht="15.75" customHeight="1" x14ac:dyDescent="0.2">
      <c r="B556" s="14"/>
    </row>
    <row r="557" spans="2:2" ht="15.75" customHeight="1" x14ac:dyDescent="0.2">
      <c r="B557" s="14"/>
    </row>
    <row r="558" spans="2:2" ht="15.75" customHeight="1" x14ac:dyDescent="0.2">
      <c r="B558" s="14"/>
    </row>
    <row r="559" spans="2:2" ht="15.75" customHeight="1" x14ac:dyDescent="0.2">
      <c r="B559" s="14"/>
    </row>
    <row r="560" spans="2:2" ht="15.75" customHeight="1" x14ac:dyDescent="0.2">
      <c r="B560" s="14"/>
    </row>
    <row r="561" spans="2:2" ht="15.75" customHeight="1" x14ac:dyDescent="0.2">
      <c r="B561" s="14"/>
    </row>
    <row r="562" spans="2:2" ht="15.75" customHeight="1" x14ac:dyDescent="0.2">
      <c r="B562" s="14"/>
    </row>
    <row r="563" spans="2:2" ht="15.75" customHeight="1" x14ac:dyDescent="0.2">
      <c r="B563" s="14"/>
    </row>
    <row r="564" spans="2:2" ht="15.75" customHeight="1" x14ac:dyDescent="0.2">
      <c r="B564" s="14"/>
    </row>
    <row r="565" spans="2:2" ht="15.75" customHeight="1" x14ac:dyDescent="0.2">
      <c r="B565" s="14"/>
    </row>
    <row r="566" spans="2:2" ht="15.75" customHeight="1" x14ac:dyDescent="0.2">
      <c r="B566" s="14"/>
    </row>
    <row r="567" spans="2:2" ht="15.75" customHeight="1" x14ac:dyDescent="0.2">
      <c r="B567" s="14"/>
    </row>
    <row r="568" spans="2:2" ht="15.75" customHeight="1" x14ac:dyDescent="0.2">
      <c r="B568" s="14"/>
    </row>
    <row r="569" spans="2:2" ht="15.75" customHeight="1" x14ac:dyDescent="0.2">
      <c r="B569" s="14"/>
    </row>
    <row r="570" spans="2:2" ht="15.75" customHeight="1" x14ac:dyDescent="0.2">
      <c r="B570" s="14"/>
    </row>
    <row r="571" spans="2:2" ht="15.75" customHeight="1" x14ac:dyDescent="0.2">
      <c r="B571" s="14"/>
    </row>
    <row r="572" spans="2:2" ht="15.75" customHeight="1" x14ac:dyDescent="0.2">
      <c r="B572" s="14"/>
    </row>
    <row r="573" spans="2:2" ht="15.75" customHeight="1" x14ac:dyDescent="0.2">
      <c r="B573" s="14"/>
    </row>
    <row r="574" spans="2:2" ht="15.75" customHeight="1" x14ac:dyDescent="0.2">
      <c r="B574" s="14"/>
    </row>
    <row r="575" spans="2:2" ht="15.75" customHeight="1" x14ac:dyDescent="0.2">
      <c r="B575" s="14"/>
    </row>
    <row r="576" spans="2:2" ht="15.75" customHeight="1" x14ac:dyDescent="0.2">
      <c r="B576" s="14"/>
    </row>
    <row r="577" spans="2:2" ht="15.75" customHeight="1" x14ac:dyDescent="0.2">
      <c r="B577" s="14"/>
    </row>
    <row r="578" spans="2:2" ht="15.75" customHeight="1" x14ac:dyDescent="0.2">
      <c r="B578" s="14"/>
    </row>
    <row r="579" spans="2:2" ht="15.75" customHeight="1" x14ac:dyDescent="0.2">
      <c r="B579" s="14"/>
    </row>
    <row r="580" spans="2:2" ht="15.75" customHeight="1" x14ac:dyDescent="0.2">
      <c r="B580" s="14"/>
    </row>
    <row r="581" spans="2:2" ht="15.75" customHeight="1" x14ac:dyDescent="0.2">
      <c r="B581" s="14"/>
    </row>
    <row r="582" spans="2:2" ht="15.75" customHeight="1" x14ac:dyDescent="0.2">
      <c r="B582" s="14"/>
    </row>
    <row r="583" spans="2:2" ht="15.75" customHeight="1" x14ac:dyDescent="0.2">
      <c r="B583" s="14"/>
    </row>
    <row r="584" spans="2:2" ht="15.75" customHeight="1" x14ac:dyDescent="0.2">
      <c r="B584" s="14"/>
    </row>
    <row r="585" spans="2:2" ht="15.75" customHeight="1" x14ac:dyDescent="0.2">
      <c r="B585" s="14"/>
    </row>
    <row r="586" spans="2:2" ht="15.75" customHeight="1" x14ac:dyDescent="0.2">
      <c r="B586" s="14"/>
    </row>
    <row r="587" spans="2:2" ht="15.75" customHeight="1" x14ac:dyDescent="0.2">
      <c r="B587" s="14"/>
    </row>
    <row r="588" spans="2:2" ht="15.75" customHeight="1" x14ac:dyDescent="0.2">
      <c r="B588" s="14"/>
    </row>
    <row r="589" spans="2:2" ht="15.75" customHeight="1" x14ac:dyDescent="0.2">
      <c r="B589" s="14"/>
    </row>
    <row r="590" spans="2:2" ht="15.75" customHeight="1" x14ac:dyDescent="0.2">
      <c r="B590" s="14"/>
    </row>
    <row r="591" spans="2:2" ht="15.75" customHeight="1" x14ac:dyDescent="0.2">
      <c r="B591" s="14"/>
    </row>
    <row r="592" spans="2:2" ht="15.75" customHeight="1" x14ac:dyDescent="0.2">
      <c r="B592" s="14"/>
    </row>
    <row r="593" spans="2:2" ht="15.75" customHeight="1" x14ac:dyDescent="0.2">
      <c r="B593" s="14"/>
    </row>
    <row r="594" spans="2:2" ht="15.75" customHeight="1" x14ac:dyDescent="0.2">
      <c r="B594" s="14"/>
    </row>
    <row r="595" spans="2:2" ht="15.75" customHeight="1" x14ac:dyDescent="0.2">
      <c r="B595" s="14"/>
    </row>
    <row r="596" spans="2:2" ht="15.75" customHeight="1" x14ac:dyDescent="0.2">
      <c r="B596" s="14"/>
    </row>
    <row r="597" spans="2:2" ht="15.75" customHeight="1" x14ac:dyDescent="0.2">
      <c r="B597" s="14"/>
    </row>
    <row r="598" spans="2:2" ht="15.75" customHeight="1" x14ac:dyDescent="0.2">
      <c r="B598" s="14"/>
    </row>
    <row r="599" spans="2:2" ht="15.75" customHeight="1" x14ac:dyDescent="0.2">
      <c r="B599" s="14"/>
    </row>
    <row r="600" spans="2:2" ht="15.75" customHeight="1" x14ac:dyDescent="0.2">
      <c r="B600" s="14"/>
    </row>
    <row r="601" spans="2:2" ht="15.75" customHeight="1" x14ac:dyDescent="0.2">
      <c r="B601" s="14"/>
    </row>
    <row r="602" spans="2:2" ht="15.75" customHeight="1" x14ac:dyDescent="0.2">
      <c r="B602" s="14"/>
    </row>
    <row r="603" spans="2:2" ht="15.75" customHeight="1" x14ac:dyDescent="0.2">
      <c r="B603" s="14"/>
    </row>
    <row r="604" spans="2:2" ht="15.75" customHeight="1" x14ac:dyDescent="0.2">
      <c r="B604" s="14"/>
    </row>
    <row r="605" spans="2:2" ht="15.75" customHeight="1" x14ac:dyDescent="0.2">
      <c r="B605" s="14"/>
    </row>
    <row r="606" spans="2:2" ht="15.75" customHeight="1" x14ac:dyDescent="0.2">
      <c r="B606" s="14"/>
    </row>
    <row r="607" spans="2:2" ht="15.75" customHeight="1" x14ac:dyDescent="0.2">
      <c r="B607" s="14"/>
    </row>
    <row r="608" spans="2:2" ht="15.75" customHeight="1" x14ac:dyDescent="0.2">
      <c r="B608" s="14"/>
    </row>
    <row r="609" spans="2:2" ht="15.75" customHeight="1" x14ac:dyDescent="0.2">
      <c r="B609" s="14"/>
    </row>
    <row r="610" spans="2:2" ht="15.75" customHeight="1" x14ac:dyDescent="0.2">
      <c r="B610" s="14"/>
    </row>
    <row r="611" spans="2:2" ht="15.75" customHeight="1" x14ac:dyDescent="0.2">
      <c r="B611" s="14"/>
    </row>
    <row r="612" spans="2:2" ht="15.75" customHeight="1" x14ac:dyDescent="0.2">
      <c r="B612" s="14"/>
    </row>
    <row r="613" spans="2:2" ht="15.75" customHeight="1" x14ac:dyDescent="0.2">
      <c r="B613" s="14"/>
    </row>
    <row r="614" spans="2:2" ht="15.75" customHeight="1" x14ac:dyDescent="0.2">
      <c r="B614" s="14"/>
    </row>
    <row r="615" spans="2:2" ht="15.75" customHeight="1" x14ac:dyDescent="0.2">
      <c r="B615" s="14"/>
    </row>
    <row r="616" spans="2:2" ht="15.75" customHeight="1" x14ac:dyDescent="0.2">
      <c r="B616" s="14"/>
    </row>
    <row r="617" spans="2:2" ht="15.75" customHeight="1" x14ac:dyDescent="0.2">
      <c r="B617" s="14"/>
    </row>
    <row r="618" spans="2:2" ht="15.75" customHeight="1" x14ac:dyDescent="0.2">
      <c r="B618" s="14"/>
    </row>
    <row r="619" spans="2:2" ht="15.75" customHeight="1" x14ac:dyDescent="0.2">
      <c r="B619" s="14"/>
    </row>
    <row r="620" spans="2:2" ht="15.75" customHeight="1" x14ac:dyDescent="0.2">
      <c r="B620" s="14"/>
    </row>
    <row r="621" spans="2:2" ht="15.75" customHeight="1" x14ac:dyDescent="0.2">
      <c r="B621" s="14"/>
    </row>
    <row r="622" spans="2:2" ht="15.75" customHeight="1" x14ac:dyDescent="0.2">
      <c r="B622" s="14"/>
    </row>
    <row r="623" spans="2:2" ht="15.75" customHeight="1" x14ac:dyDescent="0.2">
      <c r="B623" s="14"/>
    </row>
    <row r="624" spans="2:2" ht="15.75" customHeight="1" x14ac:dyDescent="0.2">
      <c r="B624" s="14"/>
    </row>
    <row r="625" spans="2:2" ht="15.75" customHeight="1" x14ac:dyDescent="0.2">
      <c r="B625" s="14"/>
    </row>
    <row r="626" spans="2:2" ht="15.75" customHeight="1" x14ac:dyDescent="0.2">
      <c r="B626" s="14"/>
    </row>
    <row r="627" spans="2:2" ht="15.75" customHeight="1" x14ac:dyDescent="0.2">
      <c r="B627" s="14"/>
    </row>
    <row r="628" spans="2:2" ht="15.75" customHeight="1" x14ac:dyDescent="0.2">
      <c r="B628" s="14"/>
    </row>
    <row r="629" spans="2:2" ht="15.75" customHeight="1" x14ac:dyDescent="0.2">
      <c r="B629" s="14"/>
    </row>
    <row r="630" spans="2:2" ht="15.75" customHeight="1" x14ac:dyDescent="0.2">
      <c r="B630" s="14"/>
    </row>
    <row r="631" spans="2:2" ht="15.75" customHeight="1" x14ac:dyDescent="0.2">
      <c r="B631" s="14"/>
    </row>
    <row r="632" spans="2:2" ht="15.75" customHeight="1" x14ac:dyDescent="0.2">
      <c r="B632" s="14"/>
    </row>
    <row r="633" spans="2:2" ht="15.75" customHeight="1" x14ac:dyDescent="0.2">
      <c r="B633" s="14"/>
    </row>
    <row r="634" spans="2:2" ht="15.75" customHeight="1" x14ac:dyDescent="0.2">
      <c r="B634" s="14"/>
    </row>
    <row r="635" spans="2:2" ht="15.75" customHeight="1" x14ac:dyDescent="0.2">
      <c r="B635" s="14"/>
    </row>
    <row r="636" spans="2:2" ht="15.75" customHeight="1" x14ac:dyDescent="0.2">
      <c r="B636" s="14"/>
    </row>
    <row r="637" spans="2:2" ht="15.75" customHeight="1" x14ac:dyDescent="0.2">
      <c r="B637" s="14"/>
    </row>
    <row r="638" spans="2:2" ht="15.75" customHeight="1" x14ac:dyDescent="0.2">
      <c r="B638" s="14"/>
    </row>
    <row r="639" spans="2:2" ht="15.75" customHeight="1" x14ac:dyDescent="0.2">
      <c r="B639" s="14"/>
    </row>
    <row r="640" spans="2:2" ht="15.75" customHeight="1" x14ac:dyDescent="0.2">
      <c r="B640" s="14"/>
    </row>
    <row r="641" spans="2:2" ht="15.75" customHeight="1" x14ac:dyDescent="0.2">
      <c r="B641" s="14"/>
    </row>
    <row r="642" spans="2:2" ht="15.75" customHeight="1" x14ac:dyDescent="0.2">
      <c r="B642" s="14"/>
    </row>
    <row r="643" spans="2:2" ht="15.75" customHeight="1" x14ac:dyDescent="0.2">
      <c r="B643" s="14"/>
    </row>
    <row r="644" spans="2:2" ht="15.75" customHeight="1" x14ac:dyDescent="0.2">
      <c r="B644" s="14"/>
    </row>
    <row r="645" spans="2:2" ht="15.75" customHeight="1" x14ac:dyDescent="0.2">
      <c r="B645" s="14"/>
    </row>
    <row r="646" spans="2:2" ht="15.75" customHeight="1" x14ac:dyDescent="0.2">
      <c r="B646" s="14"/>
    </row>
    <row r="647" spans="2:2" ht="15.75" customHeight="1" x14ac:dyDescent="0.2">
      <c r="B647" s="14"/>
    </row>
    <row r="648" spans="2:2" ht="15.75" customHeight="1" x14ac:dyDescent="0.2">
      <c r="B648" s="14"/>
    </row>
    <row r="649" spans="2:2" ht="15.75" customHeight="1" x14ac:dyDescent="0.2">
      <c r="B649" s="14"/>
    </row>
    <row r="650" spans="2:2" ht="15.75" customHeight="1" x14ac:dyDescent="0.2">
      <c r="B650" s="14"/>
    </row>
    <row r="651" spans="2:2" ht="15.75" customHeight="1" x14ac:dyDescent="0.2">
      <c r="B651" s="14"/>
    </row>
    <row r="652" spans="2:2" ht="15.75" customHeight="1" x14ac:dyDescent="0.2">
      <c r="B652" s="14"/>
    </row>
    <row r="653" spans="2:2" ht="15.75" customHeight="1" x14ac:dyDescent="0.2">
      <c r="B653" s="14"/>
    </row>
    <row r="654" spans="2:2" ht="15.75" customHeight="1" x14ac:dyDescent="0.2">
      <c r="B654" s="14"/>
    </row>
    <row r="655" spans="2:2" ht="15.75" customHeight="1" x14ac:dyDescent="0.2">
      <c r="B655" s="14"/>
    </row>
    <row r="656" spans="2:2" ht="15.75" customHeight="1" x14ac:dyDescent="0.2">
      <c r="B656" s="14"/>
    </row>
    <row r="657" spans="2:2" ht="15.75" customHeight="1" x14ac:dyDescent="0.2">
      <c r="B657" s="14"/>
    </row>
    <row r="658" spans="2:2" ht="15.75" customHeight="1" x14ac:dyDescent="0.2">
      <c r="B658" s="14"/>
    </row>
    <row r="659" spans="2:2" ht="15.75" customHeight="1" x14ac:dyDescent="0.2">
      <c r="B659" s="14"/>
    </row>
    <row r="660" spans="2:2" ht="15.75" customHeight="1" x14ac:dyDescent="0.2">
      <c r="B660" s="14"/>
    </row>
    <row r="661" spans="2:2" ht="15.75" customHeight="1" x14ac:dyDescent="0.2">
      <c r="B661" s="14"/>
    </row>
    <row r="662" spans="2:2" ht="15.75" customHeight="1" x14ac:dyDescent="0.2">
      <c r="B662" s="14"/>
    </row>
    <row r="663" spans="2:2" ht="15.75" customHeight="1" x14ac:dyDescent="0.2">
      <c r="B663" s="14"/>
    </row>
    <row r="664" spans="2:2" ht="15.75" customHeight="1" x14ac:dyDescent="0.2">
      <c r="B664" s="14"/>
    </row>
    <row r="665" spans="2:2" ht="15.75" customHeight="1" x14ac:dyDescent="0.2">
      <c r="B665" s="14"/>
    </row>
    <row r="666" spans="2:2" ht="15.75" customHeight="1" x14ac:dyDescent="0.2">
      <c r="B666" s="14"/>
    </row>
    <row r="667" spans="2:2" ht="15.75" customHeight="1" x14ac:dyDescent="0.2">
      <c r="B667" s="14"/>
    </row>
    <row r="668" spans="2:2" ht="15.75" customHeight="1" x14ac:dyDescent="0.2">
      <c r="B668" s="14"/>
    </row>
    <row r="669" spans="2:2" ht="15.75" customHeight="1" x14ac:dyDescent="0.2">
      <c r="B669" s="14"/>
    </row>
    <row r="670" spans="2:2" ht="15.75" customHeight="1" x14ac:dyDescent="0.2">
      <c r="B670" s="14"/>
    </row>
    <row r="671" spans="2:2" ht="15.75" customHeight="1" x14ac:dyDescent="0.2">
      <c r="B671" s="14"/>
    </row>
    <row r="672" spans="2:2" ht="15.75" customHeight="1" x14ac:dyDescent="0.2">
      <c r="B672" s="14"/>
    </row>
    <row r="673" spans="2:2" ht="15.75" customHeight="1" x14ac:dyDescent="0.2">
      <c r="B673" s="14"/>
    </row>
    <row r="674" spans="2:2" ht="15.75" customHeight="1" x14ac:dyDescent="0.2">
      <c r="B674" s="14"/>
    </row>
    <row r="675" spans="2:2" ht="15.75" customHeight="1" x14ac:dyDescent="0.2">
      <c r="B675" s="14"/>
    </row>
    <row r="676" spans="2:2" ht="15.75" customHeight="1" x14ac:dyDescent="0.2">
      <c r="B676" s="14"/>
    </row>
    <row r="677" spans="2:2" ht="15.75" customHeight="1" x14ac:dyDescent="0.2">
      <c r="B677" s="14"/>
    </row>
    <row r="678" spans="2:2" ht="15.75" customHeight="1" x14ac:dyDescent="0.2">
      <c r="B678" s="14"/>
    </row>
    <row r="679" spans="2:2" ht="15.75" customHeight="1" x14ac:dyDescent="0.2">
      <c r="B679" s="14"/>
    </row>
    <row r="680" spans="2:2" ht="15.75" customHeight="1" x14ac:dyDescent="0.2">
      <c r="B680" s="14"/>
    </row>
    <row r="681" spans="2:2" ht="15.75" customHeight="1" x14ac:dyDescent="0.2">
      <c r="B681" s="14"/>
    </row>
    <row r="682" spans="2:2" ht="15.75" customHeight="1" x14ac:dyDescent="0.2">
      <c r="B682" s="14"/>
    </row>
    <row r="683" spans="2:2" ht="15.75" customHeight="1" x14ac:dyDescent="0.2">
      <c r="B683" s="14"/>
    </row>
    <row r="684" spans="2:2" ht="15.75" customHeight="1" x14ac:dyDescent="0.2">
      <c r="B684" s="14"/>
    </row>
    <row r="685" spans="2:2" ht="15.75" customHeight="1" x14ac:dyDescent="0.2">
      <c r="B685" s="14"/>
    </row>
    <row r="686" spans="2:2" ht="15.75" customHeight="1" x14ac:dyDescent="0.2">
      <c r="B686" s="14"/>
    </row>
    <row r="687" spans="2:2" ht="15.75" customHeight="1" x14ac:dyDescent="0.2">
      <c r="B687" s="14"/>
    </row>
    <row r="688" spans="2:2" ht="15.75" customHeight="1" x14ac:dyDescent="0.2">
      <c r="B688" s="14"/>
    </row>
    <row r="689" spans="2:2" ht="15.75" customHeight="1" x14ac:dyDescent="0.2">
      <c r="B689" s="14"/>
    </row>
    <row r="690" spans="2:2" ht="15.75" customHeight="1" x14ac:dyDescent="0.2">
      <c r="B690" s="14"/>
    </row>
    <row r="691" spans="2:2" ht="15.75" customHeight="1" x14ac:dyDescent="0.2">
      <c r="B691" s="14"/>
    </row>
    <row r="692" spans="2:2" ht="15.75" customHeight="1" x14ac:dyDescent="0.2">
      <c r="B692" s="14"/>
    </row>
    <row r="693" spans="2:2" ht="15.75" customHeight="1" x14ac:dyDescent="0.2">
      <c r="B693" s="14"/>
    </row>
    <row r="694" spans="2:2" ht="15.75" customHeight="1" x14ac:dyDescent="0.2">
      <c r="B694" s="14"/>
    </row>
    <row r="695" spans="2:2" ht="15.75" customHeight="1" x14ac:dyDescent="0.2">
      <c r="B695" s="14"/>
    </row>
    <row r="696" spans="2:2" ht="15.75" customHeight="1" x14ac:dyDescent="0.2">
      <c r="B696" s="14"/>
    </row>
    <row r="697" spans="2:2" ht="15.75" customHeight="1" x14ac:dyDescent="0.2">
      <c r="B697" s="14"/>
    </row>
    <row r="698" spans="2:2" ht="15.75" customHeight="1" x14ac:dyDescent="0.2">
      <c r="B698" s="14"/>
    </row>
    <row r="699" spans="2:2" ht="15.75" customHeight="1" x14ac:dyDescent="0.2">
      <c r="B699" s="14"/>
    </row>
    <row r="700" spans="2:2" ht="15.75" customHeight="1" x14ac:dyDescent="0.2">
      <c r="B700" s="14"/>
    </row>
    <row r="701" spans="2:2" ht="15.75" customHeight="1" x14ac:dyDescent="0.2">
      <c r="B701" s="14"/>
    </row>
    <row r="702" spans="2:2" ht="15.75" customHeight="1" x14ac:dyDescent="0.2">
      <c r="B702" s="14"/>
    </row>
    <row r="703" spans="2:2" ht="15.75" customHeight="1" x14ac:dyDescent="0.2">
      <c r="B703" s="14"/>
    </row>
    <row r="704" spans="2:2" ht="15.75" customHeight="1" x14ac:dyDescent="0.2">
      <c r="B704" s="14"/>
    </row>
    <row r="705" spans="2:2" ht="15.75" customHeight="1" x14ac:dyDescent="0.2">
      <c r="B705" s="14"/>
    </row>
    <row r="706" spans="2:2" ht="15.75" customHeight="1" x14ac:dyDescent="0.2">
      <c r="B706" s="14"/>
    </row>
    <row r="707" spans="2:2" ht="15.75" customHeight="1" x14ac:dyDescent="0.2">
      <c r="B707" s="14"/>
    </row>
    <row r="708" spans="2:2" ht="15.75" customHeight="1" x14ac:dyDescent="0.2">
      <c r="B708" s="14"/>
    </row>
    <row r="709" spans="2:2" ht="15.75" customHeight="1" x14ac:dyDescent="0.2">
      <c r="B709" s="14"/>
    </row>
    <row r="710" spans="2:2" ht="15.75" customHeight="1" x14ac:dyDescent="0.2">
      <c r="B710" s="14"/>
    </row>
    <row r="711" spans="2:2" ht="15.75" customHeight="1" x14ac:dyDescent="0.2">
      <c r="B711" s="14"/>
    </row>
    <row r="712" spans="2:2" ht="15.75" customHeight="1" x14ac:dyDescent="0.2">
      <c r="B712" s="14"/>
    </row>
    <row r="713" spans="2:2" ht="15.75" customHeight="1" x14ac:dyDescent="0.2">
      <c r="B713" s="14"/>
    </row>
    <row r="714" spans="2:2" ht="15.75" customHeight="1" x14ac:dyDescent="0.2">
      <c r="B714" s="14"/>
    </row>
    <row r="715" spans="2:2" ht="15.75" customHeight="1" x14ac:dyDescent="0.2">
      <c r="B715" s="14"/>
    </row>
    <row r="716" spans="2:2" ht="15.75" customHeight="1" x14ac:dyDescent="0.2">
      <c r="B716" s="14"/>
    </row>
    <row r="717" spans="2:2" ht="15.75" customHeight="1" x14ac:dyDescent="0.2">
      <c r="B717" s="14"/>
    </row>
    <row r="718" spans="2:2" ht="15.75" customHeight="1" x14ac:dyDescent="0.2">
      <c r="B718" s="14"/>
    </row>
    <row r="719" spans="2:2" ht="15.75" customHeight="1" x14ac:dyDescent="0.2">
      <c r="B719" s="14"/>
    </row>
    <row r="720" spans="2:2" ht="15.75" customHeight="1" x14ac:dyDescent="0.2">
      <c r="B720" s="14"/>
    </row>
    <row r="721" spans="2:2" ht="15.75" customHeight="1" x14ac:dyDescent="0.2">
      <c r="B721" s="14"/>
    </row>
    <row r="722" spans="2:2" ht="15.75" customHeight="1" x14ac:dyDescent="0.2">
      <c r="B722" s="14"/>
    </row>
    <row r="723" spans="2:2" ht="15.75" customHeight="1" x14ac:dyDescent="0.2">
      <c r="B723" s="14"/>
    </row>
    <row r="724" spans="2:2" ht="15.75" customHeight="1" x14ac:dyDescent="0.2">
      <c r="B724" s="14"/>
    </row>
    <row r="725" spans="2:2" ht="15.75" customHeight="1" x14ac:dyDescent="0.2">
      <c r="B725" s="14"/>
    </row>
    <row r="726" spans="2:2" ht="15.75" customHeight="1" x14ac:dyDescent="0.2">
      <c r="B726" s="14"/>
    </row>
    <row r="727" spans="2:2" ht="15.75" customHeight="1" x14ac:dyDescent="0.2">
      <c r="B727" s="14"/>
    </row>
    <row r="728" spans="2:2" ht="15.75" customHeight="1" x14ac:dyDescent="0.2">
      <c r="B728" s="14"/>
    </row>
    <row r="729" spans="2:2" ht="15.75" customHeight="1" x14ac:dyDescent="0.2">
      <c r="B729" s="14"/>
    </row>
    <row r="730" spans="2:2" ht="15.75" customHeight="1" x14ac:dyDescent="0.2">
      <c r="B730" s="14"/>
    </row>
    <row r="731" spans="2:2" ht="15.75" customHeight="1" x14ac:dyDescent="0.2">
      <c r="B731" s="14"/>
    </row>
    <row r="732" spans="2:2" ht="15.75" customHeight="1" x14ac:dyDescent="0.2">
      <c r="B732" s="14"/>
    </row>
    <row r="733" spans="2:2" ht="15.75" customHeight="1" x14ac:dyDescent="0.2">
      <c r="B733" s="14"/>
    </row>
    <row r="734" spans="2:2" ht="15.75" customHeight="1" x14ac:dyDescent="0.2">
      <c r="B734" s="14"/>
    </row>
    <row r="735" spans="2:2" ht="15.75" customHeight="1" x14ac:dyDescent="0.2">
      <c r="B735" s="14"/>
    </row>
    <row r="736" spans="2:2" ht="15.75" customHeight="1" x14ac:dyDescent="0.2">
      <c r="B736" s="14"/>
    </row>
    <row r="737" spans="2:2" ht="15.75" customHeight="1" x14ac:dyDescent="0.2">
      <c r="B737" s="14"/>
    </row>
    <row r="738" spans="2:2" ht="15.75" customHeight="1" x14ac:dyDescent="0.2">
      <c r="B738" s="14"/>
    </row>
    <row r="739" spans="2:2" ht="15.75" customHeight="1" x14ac:dyDescent="0.2">
      <c r="B739" s="14"/>
    </row>
    <row r="740" spans="2:2" ht="15.75" customHeight="1" x14ac:dyDescent="0.2">
      <c r="B740" s="14"/>
    </row>
    <row r="741" spans="2:2" ht="15.75" customHeight="1" x14ac:dyDescent="0.2">
      <c r="B741" s="14"/>
    </row>
    <row r="742" spans="2:2" ht="15.75" customHeight="1" x14ac:dyDescent="0.2">
      <c r="B742" s="14"/>
    </row>
    <row r="743" spans="2:2" ht="15.75" customHeight="1" x14ac:dyDescent="0.2">
      <c r="B743" s="14"/>
    </row>
    <row r="744" spans="2:2" ht="15.75" customHeight="1" x14ac:dyDescent="0.2">
      <c r="B744" s="14"/>
    </row>
    <row r="745" spans="2:2" ht="15.75" customHeight="1" x14ac:dyDescent="0.2">
      <c r="B745" s="14"/>
    </row>
    <row r="746" spans="2:2" ht="15.75" customHeight="1" x14ac:dyDescent="0.2">
      <c r="B746" s="14"/>
    </row>
    <row r="747" spans="2:2" ht="15.75" customHeight="1" x14ac:dyDescent="0.2">
      <c r="B747" s="14"/>
    </row>
    <row r="748" spans="2:2" ht="15.75" customHeight="1" x14ac:dyDescent="0.2">
      <c r="B748" s="14"/>
    </row>
    <row r="749" spans="2:2" ht="15.75" customHeight="1" x14ac:dyDescent="0.2">
      <c r="B749" s="14"/>
    </row>
    <row r="750" spans="2:2" ht="15.75" customHeight="1" x14ac:dyDescent="0.2">
      <c r="B750" s="14"/>
    </row>
    <row r="751" spans="2:2" ht="15.75" customHeight="1" x14ac:dyDescent="0.2">
      <c r="B751" s="14"/>
    </row>
    <row r="752" spans="2:2" ht="15.75" customHeight="1" x14ac:dyDescent="0.2">
      <c r="B752" s="14"/>
    </row>
    <row r="753" spans="2:2" ht="15.75" customHeight="1" x14ac:dyDescent="0.2">
      <c r="B753" s="14"/>
    </row>
    <row r="754" spans="2:2" ht="15.75" customHeight="1" x14ac:dyDescent="0.2">
      <c r="B754" s="14"/>
    </row>
    <row r="755" spans="2:2" ht="15.75" customHeight="1" x14ac:dyDescent="0.2">
      <c r="B755" s="14"/>
    </row>
    <row r="756" spans="2:2" ht="15.75" customHeight="1" x14ac:dyDescent="0.2">
      <c r="B756" s="14"/>
    </row>
    <row r="757" spans="2:2" ht="15.75" customHeight="1" x14ac:dyDescent="0.2">
      <c r="B757" s="14"/>
    </row>
    <row r="758" spans="2:2" ht="15.75" customHeight="1" x14ac:dyDescent="0.2">
      <c r="B758" s="14"/>
    </row>
    <row r="759" spans="2:2" ht="15.75" customHeight="1" x14ac:dyDescent="0.2">
      <c r="B759" s="14"/>
    </row>
    <row r="760" spans="2:2" ht="15.75" customHeight="1" x14ac:dyDescent="0.2">
      <c r="B760" s="14"/>
    </row>
    <row r="761" spans="2:2" ht="15.75" customHeight="1" x14ac:dyDescent="0.2">
      <c r="B761" s="14"/>
    </row>
    <row r="762" spans="2:2" ht="15.75" customHeight="1" x14ac:dyDescent="0.2">
      <c r="B762" s="14"/>
    </row>
    <row r="763" spans="2:2" ht="15.75" customHeight="1" x14ac:dyDescent="0.2">
      <c r="B763" s="14"/>
    </row>
    <row r="764" spans="2:2" ht="15.75" customHeight="1" x14ac:dyDescent="0.2">
      <c r="B764" s="14"/>
    </row>
    <row r="765" spans="2:2" ht="15.75" customHeight="1" x14ac:dyDescent="0.2">
      <c r="B765" s="14"/>
    </row>
    <row r="766" spans="2:2" ht="15.75" customHeight="1" x14ac:dyDescent="0.2">
      <c r="B766" s="14"/>
    </row>
    <row r="767" spans="2:2" ht="15.75" customHeight="1" x14ac:dyDescent="0.2">
      <c r="B767" s="14"/>
    </row>
    <row r="768" spans="2:2" ht="15.75" customHeight="1" x14ac:dyDescent="0.2">
      <c r="B768" s="14"/>
    </row>
    <row r="769" spans="2:2" ht="15.75" customHeight="1" x14ac:dyDescent="0.2">
      <c r="B769" s="14"/>
    </row>
    <row r="770" spans="2:2" ht="15.75" customHeight="1" x14ac:dyDescent="0.2">
      <c r="B770" s="14"/>
    </row>
    <row r="771" spans="2:2" ht="15.75" customHeight="1" x14ac:dyDescent="0.2">
      <c r="B771" s="14"/>
    </row>
    <row r="772" spans="2:2" ht="15.75" customHeight="1" x14ac:dyDescent="0.2">
      <c r="B772" s="14"/>
    </row>
    <row r="773" spans="2:2" ht="15.75" customHeight="1" x14ac:dyDescent="0.2">
      <c r="B773" s="14"/>
    </row>
    <row r="774" spans="2:2" ht="15.75" customHeight="1" x14ac:dyDescent="0.2">
      <c r="B774" s="14"/>
    </row>
    <row r="775" spans="2:2" ht="15.75" customHeight="1" x14ac:dyDescent="0.2">
      <c r="B775" s="14"/>
    </row>
    <row r="776" spans="2:2" ht="15.75" customHeight="1" x14ac:dyDescent="0.2">
      <c r="B776" s="14"/>
    </row>
    <row r="777" spans="2:2" ht="15.75" customHeight="1" x14ac:dyDescent="0.2">
      <c r="B777" s="14"/>
    </row>
    <row r="778" spans="2:2" ht="15.75" customHeight="1" x14ac:dyDescent="0.2">
      <c r="B778" s="14"/>
    </row>
    <row r="779" spans="2:2" ht="15.75" customHeight="1" x14ac:dyDescent="0.2">
      <c r="B779" s="14"/>
    </row>
    <row r="780" spans="2:2" ht="15.75" customHeight="1" x14ac:dyDescent="0.2">
      <c r="B780" s="14"/>
    </row>
    <row r="781" spans="2:2" ht="15.75" customHeight="1" x14ac:dyDescent="0.2">
      <c r="B781" s="14"/>
    </row>
    <row r="782" spans="2:2" ht="15.75" customHeight="1" x14ac:dyDescent="0.2">
      <c r="B782" s="14"/>
    </row>
    <row r="783" spans="2:2" ht="15.75" customHeight="1" x14ac:dyDescent="0.2">
      <c r="B783" s="14"/>
    </row>
    <row r="784" spans="2:2" ht="15.75" customHeight="1" x14ac:dyDescent="0.2">
      <c r="B784" s="14"/>
    </row>
    <row r="785" spans="2:2" ht="15.75" customHeight="1" x14ac:dyDescent="0.2">
      <c r="B785" s="14"/>
    </row>
    <row r="786" spans="2:2" ht="15.75" customHeight="1" x14ac:dyDescent="0.2">
      <c r="B786" s="14"/>
    </row>
    <row r="787" spans="2:2" ht="15.75" customHeight="1" x14ac:dyDescent="0.2">
      <c r="B787" s="14"/>
    </row>
    <row r="788" spans="2:2" ht="15.75" customHeight="1" x14ac:dyDescent="0.2">
      <c r="B788" s="14"/>
    </row>
    <row r="789" spans="2:2" ht="15.75" customHeight="1" x14ac:dyDescent="0.2">
      <c r="B789" s="14"/>
    </row>
    <row r="790" spans="2:2" ht="15.75" customHeight="1" x14ac:dyDescent="0.2">
      <c r="B790" s="14"/>
    </row>
    <row r="791" spans="2:2" ht="15.75" customHeight="1" x14ac:dyDescent="0.2">
      <c r="B791" s="14"/>
    </row>
    <row r="792" spans="2:2" ht="15.75" customHeight="1" x14ac:dyDescent="0.2">
      <c r="B792" s="14"/>
    </row>
    <row r="793" spans="2:2" ht="15.75" customHeight="1" x14ac:dyDescent="0.2">
      <c r="B793" s="14"/>
    </row>
    <row r="794" spans="2:2" ht="15.75" customHeight="1" x14ac:dyDescent="0.2">
      <c r="B794" s="14"/>
    </row>
    <row r="795" spans="2:2" ht="15.75" customHeight="1" x14ac:dyDescent="0.2">
      <c r="B795" s="14"/>
    </row>
    <row r="796" spans="2:2" ht="15.75" customHeight="1" x14ac:dyDescent="0.2">
      <c r="B796" s="14"/>
    </row>
    <row r="797" spans="2:2" ht="15.75" customHeight="1" x14ac:dyDescent="0.2">
      <c r="B797" s="14"/>
    </row>
    <row r="798" spans="2:2" ht="15.75" customHeight="1" x14ac:dyDescent="0.2">
      <c r="B798" s="14"/>
    </row>
    <row r="799" spans="2:2" ht="15.75" customHeight="1" x14ac:dyDescent="0.2">
      <c r="B799" s="14"/>
    </row>
    <row r="800" spans="2:2" ht="15.75" customHeight="1" x14ac:dyDescent="0.2">
      <c r="B800" s="14"/>
    </row>
    <row r="801" spans="2:2" ht="15.75" customHeight="1" x14ac:dyDescent="0.2">
      <c r="B801" s="14"/>
    </row>
    <row r="802" spans="2:2" ht="15.75" customHeight="1" x14ac:dyDescent="0.2">
      <c r="B802" s="14"/>
    </row>
    <row r="803" spans="2:2" ht="15.75" customHeight="1" x14ac:dyDescent="0.2">
      <c r="B803" s="14"/>
    </row>
    <row r="804" spans="2:2" ht="15.75" customHeight="1" x14ac:dyDescent="0.2">
      <c r="B804" s="14"/>
    </row>
    <row r="805" spans="2:2" ht="15.75" customHeight="1" x14ac:dyDescent="0.2">
      <c r="B805" s="14"/>
    </row>
    <row r="806" spans="2:2" ht="15.75" customHeight="1" x14ac:dyDescent="0.2">
      <c r="B806" s="14"/>
    </row>
    <row r="807" spans="2:2" ht="15.75" customHeight="1" x14ac:dyDescent="0.2">
      <c r="B807" s="14"/>
    </row>
    <row r="808" spans="2:2" ht="15.75" customHeight="1" x14ac:dyDescent="0.2">
      <c r="B808" s="14"/>
    </row>
    <row r="809" spans="2:2" ht="15.75" customHeight="1" x14ac:dyDescent="0.2">
      <c r="B809" s="14"/>
    </row>
    <row r="810" spans="2:2" ht="15.75" customHeight="1" x14ac:dyDescent="0.2">
      <c r="B810" s="14"/>
    </row>
    <row r="811" spans="2:2" ht="15.75" customHeight="1" x14ac:dyDescent="0.2">
      <c r="B811" s="14"/>
    </row>
    <row r="812" spans="2:2" ht="15.75" customHeight="1" x14ac:dyDescent="0.2">
      <c r="B812" s="14"/>
    </row>
    <row r="813" spans="2:2" ht="15.75" customHeight="1" x14ac:dyDescent="0.2">
      <c r="B813" s="14"/>
    </row>
    <row r="814" spans="2:2" ht="15.75" customHeight="1" x14ac:dyDescent="0.2">
      <c r="B814" s="14"/>
    </row>
    <row r="815" spans="2:2" ht="15.75" customHeight="1" x14ac:dyDescent="0.2">
      <c r="B815" s="14"/>
    </row>
    <row r="816" spans="2:2" ht="15.75" customHeight="1" x14ac:dyDescent="0.2">
      <c r="B816" s="14"/>
    </row>
    <row r="817" spans="2:2" ht="15.75" customHeight="1" x14ac:dyDescent="0.2">
      <c r="B817" s="14"/>
    </row>
    <row r="818" spans="2:2" ht="15.75" customHeight="1" x14ac:dyDescent="0.2">
      <c r="B818" s="14"/>
    </row>
    <row r="819" spans="2:2" ht="15.75" customHeight="1" x14ac:dyDescent="0.2">
      <c r="B819" s="14"/>
    </row>
    <row r="820" spans="2:2" ht="15.75" customHeight="1" x14ac:dyDescent="0.2">
      <c r="B820" s="14"/>
    </row>
    <row r="821" spans="2:2" ht="15.75" customHeight="1" x14ac:dyDescent="0.2">
      <c r="B821" s="14"/>
    </row>
    <row r="822" spans="2:2" ht="15.75" customHeight="1" x14ac:dyDescent="0.2">
      <c r="B822" s="14"/>
    </row>
    <row r="823" spans="2:2" ht="15.75" customHeight="1" x14ac:dyDescent="0.2">
      <c r="B823" s="14"/>
    </row>
    <row r="824" spans="2:2" ht="15.75" customHeight="1" x14ac:dyDescent="0.2">
      <c r="B824" s="14"/>
    </row>
    <row r="825" spans="2:2" ht="15.75" customHeight="1" x14ac:dyDescent="0.2">
      <c r="B825" s="14"/>
    </row>
    <row r="826" spans="2:2" ht="15.75" customHeight="1" x14ac:dyDescent="0.2">
      <c r="B826" s="14"/>
    </row>
    <row r="827" spans="2:2" ht="15.75" customHeight="1" x14ac:dyDescent="0.2">
      <c r="B827" s="14"/>
    </row>
    <row r="828" spans="2:2" ht="15.75" customHeight="1" x14ac:dyDescent="0.2">
      <c r="B828" s="14"/>
    </row>
    <row r="829" spans="2:2" ht="15.75" customHeight="1" x14ac:dyDescent="0.2">
      <c r="B829" s="14"/>
    </row>
    <row r="830" spans="2:2" ht="15.75" customHeight="1" x14ac:dyDescent="0.2">
      <c r="B830" s="14"/>
    </row>
    <row r="831" spans="2:2" ht="15.75" customHeight="1" x14ac:dyDescent="0.2">
      <c r="B831" s="14"/>
    </row>
    <row r="832" spans="2:2" ht="15.75" customHeight="1" x14ac:dyDescent="0.2">
      <c r="B832" s="14"/>
    </row>
    <row r="833" spans="2:2" ht="15.75" customHeight="1" x14ac:dyDescent="0.2">
      <c r="B833" s="14"/>
    </row>
    <row r="834" spans="2:2" ht="15.75" customHeight="1" x14ac:dyDescent="0.2">
      <c r="B834" s="14"/>
    </row>
    <row r="835" spans="2:2" ht="15.75" customHeight="1" x14ac:dyDescent="0.2">
      <c r="B835" s="14"/>
    </row>
    <row r="836" spans="2:2" ht="15.75" customHeight="1" x14ac:dyDescent="0.2">
      <c r="B836" s="14"/>
    </row>
    <row r="837" spans="2:2" ht="15.75" customHeight="1" x14ac:dyDescent="0.2">
      <c r="B837" s="14"/>
    </row>
    <row r="838" spans="2:2" ht="15.75" customHeight="1" x14ac:dyDescent="0.2">
      <c r="B838" s="14"/>
    </row>
    <row r="839" spans="2:2" ht="15.75" customHeight="1" x14ac:dyDescent="0.2">
      <c r="B839" s="14"/>
    </row>
    <row r="840" spans="2:2" ht="15.75" customHeight="1" x14ac:dyDescent="0.2">
      <c r="B840" s="14"/>
    </row>
    <row r="841" spans="2:2" ht="15.75" customHeight="1" x14ac:dyDescent="0.2">
      <c r="B841" s="14"/>
    </row>
    <row r="842" spans="2:2" ht="15.75" customHeight="1" x14ac:dyDescent="0.2">
      <c r="B842" s="14"/>
    </row>
    <row r="843" spans="2:2" ht="15.75" customHeight="1" x14ac:dyDescent="0.2">
      <c r="B843" s="14"/>
    </row>
    <row r="844" spans="2:2" ht="15.75" customHeight="1" x14ac:dyDescent="0.2">
      <c r="B844" s="14"/>
    </row>
    <row r="845" spans="2:2" ht="15.75" customHeight="1" x14ac:dyDescent="0.2">
      <c r="B845" s="14"/>
    </row>
    <row r="846" spans="2:2" ht="15.75" customHeight="1" x14ac:dyDescent="0.2">
      <c r="B846" s="14"/>
    </row>
    <row r="847" spans="2:2" ht="15.75" customHeight="1" x14ac:dyDescent="0.2">
      <c r="B847" s="14"/>
    </row>
    <row r="848" spans="2:2" ht="15.75" customHeight="1" x14ac:dyDescent="0.2">
      <c r="B848" s="14"/>
    </row>
    <row r="849" spans="2:2" ht="15.75" customHeight="1" x14ac:dyDescent="0.2">
      <c r="B849" s="14"/>
    </row>
    <row r="850" spans="2:2" ht="15.75" customHeight="1" x14ac:dyDescent="0.2">
      <c r="B850" s="14"/>
    </row>
    <row r="851" spans="2:2" ht="15.75" customHeight="1" x14ac:dyDescent="0.2">
      <c r="B851" s="14"/>
    </row>
    <row r="852" spans="2:2" ht="15.75" customHeight="1" x14ac:dyDescent="0.2">
      <c r="B852" s="14"/>
    </row>
    <row r="853" spans="2:2" ht="15.75" customHeight="1" x14ac:dyDescent="0.2">
      <c r="B853" s="14"/>
    </row>
    <row r="854" spans="2:2" ht="15.75" customHeight="1" x14ac:dyDescent="0.2">
      <c r="B854" s="14"/>
    </row>
    <row r="855" spans="2:2" ht="15.75" customHeight="1" x14ac:dyDescent="0.2">
      <c r="B855" s="14"/>
    </row>
    <row r="856" spans="2:2" ht="15.75" customHeight="1" x14ac:dyDescent="0.2">
      <c r="B856" s="14"/>
    </row>
    <row r="857" spans="2:2" ht="15.75" customHeight="1" x14ac:dyDescent="0.2">
      <c r="B857" s="14"/>
    </row>
    <row r="858" spans="2:2" ht="15.75" customHeight="1" x14ac:dyDescent="0.2">
      <c r="B858" s="14"/>
    </row>
    <row r="859" spans="2:2" ht="15.75" customHeight="1" x14ac:dyDescent="0.2">
      <c r="B859" s="14"/>
    </row>
    <row r="860" spans="2:2" ht="15.75" customHeight="1" x14ac:dyDescent="0.2">
      <c r="B860" s="14"/>
    </row>
    <row r="861" spans="2:2" ht="15.75" customHeight="1" x14ac:dyDescent="0.2">
      <c r="B861" s="14"/>
    </row>
    <row r="862" spans="2:2" ht="15.75" customHeight="1" x14ac:dyDescent="0.2">
      <c r="B862" s="14"/>
    </row>
    <row r="863" spans="2:2" ht="15.75" customHeight="1" x14ac:dyDescent="0.2">
      <c r="B863" s="14"/>
    </row>
    <row r="864" spans="2:2" ht="15.75" customHeight="1" x14ac:dyDescent="0.2">
      <c r="B864" s="14"/>
    </row>
    <row r="865" spans="2:2" ht="15.75" customHeight="1" x14ac:dyDescent="0.2">
      <c r="B865" s="14"/>
    </row>
    <row r="866" spans="2:2" ht="15.75" customHeight="1" x14ac:dyDescent="0.2">
      <c r="B866" s="14"/>
    </row>
    <row r="867" spans="2:2" ht="15.75" customHeight="1" x14ac:dyDescent="0.2">
      <c r="B867" s="14"/>
    </row>
    <row r="868" spans="2:2" ht="15.75" customHeight="1" x14ac:dyDescent="0.2">
      <c r="B868" s="14"/>
    </row>
    <row r="869" spans="2:2" ht="15.75" customHeight="1" x14ac:dyDescent="0.2">
      <c r="B869" s="14"/>
    </row>
    <row r="870" spans="2:2" ht="15.75" customHeight="1" x14ac:dyDescent="0.2">
      <c r="B870" s="14"/>
    </row>
    <row r="871" spans="2:2" ht="15.75" customHeight="1" x14ac:dyDescent="0.2">
      <c r="B871" s="14"/>
    </row>
    <row r="872" spans="2:2" ht="15.75" customHeight="1" x14ac:dyDescent="0.2">
      <c r="B872" s="14"/>
    </row>
    <row r="873" spans="2:2" ht="15.75" customHeight="1" x14ac:dyDescent="0.2">
      <c r="B873" s="14"/>
    </row>
    <row r="874" spans="2:2" ht="15.75" customHeight="1" x14ac:dyDescent="0.2">
      <c r="B874" s="14"/>
    </row>
    <row r="875" spans="2:2" ht="15.75" customHeight="1" x14ac:dyDescent="0.2">
      <c r="B875" s="14"/>
    </row>
    <row r="876" spans="2:2" ht="15.75" customHeight="1" x14ac:dyDescent="0.2">
      <c r="B876" s="14"/>
    </row>
    <row r="877" spans="2:2" ht="15.75" customHeight="1" x14ac:dyDescent="0.2">
      <c r="B877" s="14"/>
    </row>
    <row r="878" spans="2:2" ht="15.75" customHeight="1" x14ac:dyDescent="0.2">
      <c r="B878" s="14"/>
    </row>
    <row r="879" spans="2:2" ht="15.75" customHeight="1" x14ac:dyDescent="0.2">
      <c r="B879" s="14"/>
    </row>
    <row r="880" spans="2:2" ht="15.75" customHeight="1" x14ac:dyDescent="0.2">
      <c r="B880" s="14"/>
    </row>
    <row r="881" spans="2:2" ht="15.75" customHeight="1" x14ac:dyDescent="0.2">
      <c r="B881" s="14"/>
    </row>
    <row r="882" spans="2:2" ht="15.75" customHeight="1" x14ac:dyDescent="0.2">
      <c r="B882" s="14"/>
    </row>
    <row r="883" spans="2:2" ht="15.75" customHeight="1" x14ac:dyDescent="0.2">
      <c r="B883" s="14"/>
    </row>
    <row r="884" spans="2:2" ht="15.75" customHeight="1" x14ac:dyDescent="0.2">
      <c r="B884" s="14"/>
    </row>
    <row r="885" spans="2:2" ht="15.75" customHeight="1" x14ac:dyDescent="0.2">
      <c r="B885" s="14"/>
    </row>
    <row r="886" spans="2:2" ht="15.75" customHeight="1" x14ac:dyDescent="0.2">
      <c r="B886" s="14"/>
    </row>
    <row r="887" spans="2:2" ht="15.75" customHeight="1" x14ac:dyDescent="0.2">
      <c r="B887" s="14"/>
    </row>
    <row r="888" spans="2:2" ht="15.75" customHeight="1" x14ac:dyDescent="0.2">
      <c r="B888" s="14"/>
    </row>
    <row r="889" spans="2:2" ht="15.75" customHeight="1" x14ac:dyDescent="0.2">
      <c r="B889" s="14"/>
    </row>
    <row r="890" spans="2:2" ht="15.75" customHeight="1" x14ac:dyDescent="0.2">
      <c r="B890" s="14"/>
    </row>
    <row r="891" spans="2:2" ht="15.75" customHeight="1" x14ac:dyDescent="0.2">
      <c r="B891" s="14"/>
    </row>
    <row r="892" spans="2:2" ht="15.75" customHeight="1" x14ac:dyDescent="0.2">
      <c r="B892" s="14"/>
    </row>
    <row r="893" spans="2:2" ht="15.75" customHeight="1" x14ac:dyDescent="0.2">
      <c r="B893" s="14"/>
    </row>
    <row r="894" spans="2:2" ht="15.75" customHeight="1" x14ac:dyDescent="0.2">
      <c r="B894" s="14"/>
    </row>
    <row r="895" spans="2:2" ht="15.75" customHeight="1" x14ac:dyDescent="0.2">
      <c r="B895" s="14"/>
    </row>
    <row r="896" spans="2:2" ht="15.75" customHeight="1" x14ac:dyDescent="0.2">
      <c r="B896" s="14"/>
    </row>
    <row r="897" spans="2:2" ht="15.75" customHeight="1" x14ac:dyDescent="0.2">
      <c r="B897" s="14"/>
    </row>
    <row r="898" spans="2:2" ht="15.75" customHeight="1" x14ac:dyDescent="0.2">
      <c r="B898" s="14"/>
    </row>
    <row r="899" spans="2:2" ht="15.75" customHeight="1" x14ac:dyDescent="0.2">
      <c r="B899" s="14"/>
    </row>
    <row r="900" spans="2:2" ht="15.75" customHeight="1" x14ac:dyDescent="0.2">
      <c r="B900" s="14"/>
    </row>
    <row r="901" spans="2:2" ht="15.75" customHeight="1" x14ac:dyDescent="0.2">
      <c r="B901" s="14"/>
    </row>
    <row r="902" spans="2:2" ht="15.75" customHeight="1" x14ac:dyDescent="0.2">
      <c r="B902" s="14"/>
    </row>
    <row r="903" spans="2:2" ht="15.75" customHeight="1" x14ac:dyDescent="0.2">
      <c r="B903" s="14"/>
    </row>
    <row r="904" spans="2:2" ht="15.75" customHeight="1" x14ac:dyDescent="0.2">
      <c r="B904" s="14"/>
    </row>
    <row r="905" spans="2:2" ht="15.75" customHeight="1" x14ac:dyDescent="0.2">
      <c r="B905" s="14"/>
    </row>
    <row r="906" spans="2:2" ht="15.75" customHeight="1" x14ac:dyDescent="0.2">
      <c r="B906" s="14"/>
    </row>
    <row r="907" spans="2:2" ht="15.75" customHeight="1" x14ac:dyDescent="0.2">
      <c r="B907" s="14"/>
    </row>
    <row r="908" spans="2:2" ht="15.75" customHeight="1" x14ac:dyDescent="0.2">
      <c r="B908" s="14"/>
    </row>
    <row r="909" spans="2:2" ht="15.75" customHeight="1" x14ac:dyDescent="0.2">
      <c r="B909" s="14"/>
    </row>
    <row r="910" spans="2:2" ht="15.75" customHeight="1" x14ac:dyDescent="0.2">
      <c r="B910" s="14"/>
    </row>
    <row r="911" spans="2:2" ht="15.75" customHeight="1" x14ac:dyDescent="0.2">
      <c r="B911" s="14"/>
    </row>
    <row r="912" spans="2:2" ht="15.75" customHeight="1" x14ac:dyDescent="0.2">
      <c r="B912" s="14"/>
    </row>
    <row r="913" spans="2:2" ht="15.75" customHeight="1" x14ac:dyDescent="0.2">
      <c r="B913" s="14"/>
    </row>
    <row r="914" spans="2:2" ht="15.75" customHeight="1" x14ac:dyDescent="0.2">
      <c r="B914" s="14"/>
    </row>
    <row r="915" spans="2:2" ht="15.75" customHeight="1" x14ac:dyDescent="0.2">
      <c r="B915" s="14"/>
    </row>
    <row r="916" spans="2:2" ht="15.75" customHeight="1" x14ac:dyDescent="0.2">
      <c r="B916" s="14"/>
    </row>
    <row r="917" spans="2:2" ht="15.75" customHeight="1" x14ac:dyDescent="0.2">
      <c r="B917" s="14"/>
    </row>
    <row r="918" spans="2:2" ht="15.75" customHeight="1" x14ac:dyDescent="0.2">
      <c r="B918" s="14"/>
    </row>
    <row r="919" spans="2:2" ht="15.75" customHeight="1" x14ac:dyDescent="0.2">
      <c r="B919" s="14"/>
    </row>
    <row r="920" spans="2:2" ht="15.75" customHeight="1" x14ac:dyDescent="0.2">
      <c r="B920" s="14"/>
    </row>
    <row r="921" spans="2:2" ht="15.75" customHeight="1" x14ac:dyDescent="0.2">
      <c r="B921" s="14"/>
    </row>
    <row r="922" spans="2:2" ht="15.75" customHeight="1" x14ac:dyDescent="0.2">
      <c r="B922" s="14"/>
    </row>
    <row r="923" spans="2:2" ht="15.75" customHeight="1" x14ac:dyDescent="0.2">
      <c r="B923" s="14"/>
    </row>
    <row r="924" spans="2:2" ht="15.75" customHeight="1" x14ac:dyDescent="0.2">
      <c r="B924" s="14"/>
    </row>
    <row r="925" spans="2:2" ht="15.75" customHeight="1" x14ac:dyDescent="0.2">
      <c r="B925" s="14"/>
    </row>
    <row r="926" spans="2:2" ht="15.75" customHeight="1" x14ac:dyDescent="0.2">
      <c r="B926" s="14"/>
    </row>
    <row r="927" spans="2:2" ht="15.75" customHeight="1" x14ac:dyDescent="0.2">
      <c r="B927" s="14"/>
    </row>
    <row r="928" spans="2:2" ht="15.75" customHeight="1" x14ac:dyDescent="0.2">
      <c r="B928" s="14"/>
    </row>
    <row r="929" spans="2:2" ht="15.75" customHeight="1" x14ac:dyDescent="0.2">
      <c r="B929" s="14"/>
    </row>
    <row r="930" spans="2:2" ht="15.75" customHeight="1" x14ac:dyDescent="0.2">
      <c r="B930" s="14"/>
    </row>
    <row r="931" spans="2:2" ht="15.75" customHeight="1" x14ac:dyDescent="0.2">
      <c r="B931" s="14"/>
    </row>
    <row r="932" spans="2:2" ht="15.75" customHeight="1" x14ac:dyDescent="0.2">
      <c r="B932" s="14"/>
    </row>
    <row r="933" spans="2:2" ht="15.75" customHeight="1" x14ac:dyDescent="0.2">
      <c r="B933" s="14"/>
    </row>
    <row r="934" spans="2:2" ht="15.75" customHeight="1" x14ac:dyDescent="0.2">
      <c r="B934" s="14"/>
    </row>
    <row r="935" spans="2:2" ht="15.75" customHeight="1" x14ac:dyDescent="0.2">
      <c r="B935" s="14"/>
    </row>
    <row r="936" spans="2:2" ht="15.75" customHeight="1" x14ac:dyDescent="0.2">
      <c r="B936" s="14"/>
    </row>
    <row r="937" spans="2:2" ht="15.75" customHeight="1" x14ac:dyDescent="0.2">
      <c r="B937" s="14"/>
    </row>
    <row r="938" spans="2:2" ht="15.75" customHeight="1" x14ac:dyDescent="0.2">
      <c r="B938" s="14"/>
    </row>
    <row r="939" spans="2:2" ht="15.75" customHeight="1" x14ac:dyDescent="0.2">
      <c r="B939" s="14"/>
    </row>
    <row r="940" spans="2:2" ht="15.75" customHeight="1" x14ac:dyDescent="0.2">
      <c r="B940" s="14"/>
    </row>
    <row r="941" spans="2:2" ht="15.75" customHeight="1" x14ac:dyDescent="0.2">
      <c r="B941" s="14"/>
    </row>
    <row r="942" spans="2:2" ht="15.75" customHeight="1" x14ac:dyDescent="0.2">
      <c r="B942" s="14"/>
    </row>
    <row r="943" spans="2:2" ht="15.75" customHeight="1" x14ac:dyDescent="0.2">
      <c r="B943" s="14"/>
    </row>
    <row r="944" spans="2:2" ht="15.75" customHeight="1" x14ac:dyDescent="0.2">
      <c r="B944" s="14"/>
    </row>
    <row r="945" spans="2:2" ht="15.75" customHeight="1" x14ac:dyDescent="0.2">
      <c r="B945" s="14"/>
    </row>
    <row r="946" spans="2:2" ht="15.75" customHeight="1" x14ac:dyDescent="0.2">
      <c r="B946" s="14"/>
    </row>
    <row r="947" spans="2:2" ht="15.75" customHeight="1" x14ac:dyDescent="0.2">
      <c r="B947" s="14"/>
    </row>
    <row r="948" spans="2:2" ht="15.75" customHeight="1" x14ac:dyDescent="0.2">
      <c r="B948" s="14"/>
    </row>
    <row r="949" spans="2:2" ht="15.75" customHeight="1" x14ac:dyDescent="0.2">
      <c r="B949" s="14"/>
    </row>
    <row r="950" spans="2:2" ht="15.75" customHeight="1" x14ac:dyDescent="0.2">
      <c r="B950" s="14"/>
    </row>
    <row r="951" spans="2:2" ht="15.75" customHeight="1" x14ac:dyDescent="0.2">
      <c r="B951" s="14"/>
    </row>
    <row r="952" spans="2:2" ht="15.75" customHeight="1" x14ac:dyDescent="0.2">
      <c r="B952" s="14"/>
    </row>
    <row r="953" spans="2:2" ht="15.75" customHeight="1" x14ac:dyDescent="0.2">
      <c r="B953" s="14"/>
    </row>
    <row r="954" spans="2:2" ht="15.75" customHeight="1" x14ac:dyDescent="0.2">
      <c r="B954" s="14"/>
    </row>
    <row r="955" spans="2:2" ht="15.75" customHeight="1" x14ac:dyDescent="0.2">
      <c r="B955" s="14"/>
    </row>
    <row r="956" spans="2:2" ht="15.75" customHeight="1" x14ac:dyDescent="0.2">
      <c r="B956" s="14"/>
    </row>
    <row r="957" spans="2:2" ht="15.75" customHeight="1" x14ac:dyDescent="0.2">
      <c r="B957" s="14"/>
    </row>
    <row r="958" spans="2:2" ht="15.75" customHeight="1" x14ac:dyDescent="0.2">
      <c r="B958" s="14"/>
    </row>
    <row r="959" spans="2:2" ht="15.75" customHeight="1" x14ac:dyDescent="0.2">
      <c r="B959" s="14"/>
    </row>
    <row r="960" spans="2:2" ht="15.75" customHeight="1" x14ac:dyDescent="0.2">
      <c r="B960" s="14"/>
    </row>
    <row r="961" spans="2:2" ht="15.75" customHeight="1" x14ac:dyDescent="0.2">
      <c r="B961" s="14"/>
    </row>
    <row r="962" spans="2:2" ht="15.75" customHeight="1" x14ac:dyDescent="0.2">
      <c r="B962" s="14"/>
    </row>
    <row r="963" spans="2:2" ht="15.75" customHeight="1" x14ac:dyDescent="0.2">
      <c r="B963" s="14"/>
    </row>
    <row r="964" spans="2:2" ht="15.75" customHeight="1" x14ac:dyDescent="0.2">
      <c r="B964" s="14"/>
    </row>
    <row r="965" spans="2:2" ht="15.75" customHeight="1" x14ac:dyDescent="0.2">
      <c r="B965" s="14"/>
    </row>
    <row r="966" spans="2:2" ht="15.75" customHeight="1" x14ac:dyDescent="0.2">
      <c r="B966" s="14"/>
    </row>
    <row r="967" spans="2:2" ht="15.75" customHeight="1" x14ac:dyDescent="0.2">
      <c r="B967" s="14"/>
    </row>
    <row r="968" spans="2:2" ht="15.75" customHeight="1" x14ac:dyDescent="0.2">
      <c r="B968" s="14"/>
    </row>
    <row r="969" spans="2:2" ht="15.75" customHeight="1" x14ac:dyDescent="0.2">
      <c r="B969" s="14"/>
    </row>
    <row r="970" spans="2:2" ht="15.75" customHeight="1" x14ac:dyDescent="0.2">
      <c r="B970" s="14"/>
    </row>
    <row r="971" spans="2:2" ht="15.75" customHeight="1" x14ac:dyDescent="0.2">
      <c r="B971" s="14"/>
    </row>
    <row r="972" spans="2:2" ht="15.75" customHeight="1" x14ac:dyDescent="0.2">
      <c r="B972" s="14"/>
    </row>
    <row r="973" spans="2:2" ht="15.75" customHeight="1" x14ac:dyDescent="0.2">
      <c r="B973" s="14"/>
    </row>
    <row r="974" spans="2:2" ht="15.75" customHeight="1" x14ac:dyDescent="0.2">
      <c r="B974" s="14"/>
    </row>
    <row r="975" spans="2:2" ht="15.75" customHeight="1" x14ac:dyDescent="0.2">
      <c r="B975" s="14"/>
    </row>
    <row r="976" spans="2:2" ht="15.75" customHeight="1" x14ac:dyDescent="0.2">
      <c r="B976" s="14"/>
    </row>
    <row r="977" spans="2:2" ht="15.75" customHeight="1" x14ac:dyDescent="0.2">
      <c r="B977" s="14"/>
    </row>
    <row r="978" spans="2:2" ht="15.75" customHeight="1" x14ac:dyDescent="0.2">
      <c r="B978" s="14"/>
    </row>
    <row r="979" spans="2:2" ht="15.75" customHeight="1" x14ac:dyDescent="0.2">
      <c r="B979" s="14"/>
    </row>
    <row r="980" spans="2:2" ht="15.75" customHeight="1" x14ac:dyDescent="0.2">
      <c r="B980" s="14"/>
    </row>
    <row r="981" spans="2:2" ht="15.75" customHeight="1" x14ac:dyDescent="0.2">
      <c r="B981" s="14"/>
    </row>
    <row r="982" spans="2:2" ht="15.75" customHeight="1" x14ac:dyDescent="0.2">
      <c r="B982" s="14"/>
    </row>
    <row r="983" spans="2:2" ht="15.75" customHeight="1" x14ac:dyDescent="0.2">
      <c r="B983" s="14"/>
    </row>
    <row r="984" spans="2:2" ht="15.75" customHeight="1" x14ac:dyDescent="0.2">
      <c r="B984" s="14"/>
    </row>
    <row r="985" spans="2:2" ht="15.75" customHeight="1" x14ac:dyDescent="0.2">
      <c r="B985" s="14"/>
    </row>
    <row r="986" spans="2:2" ht="15.75" customHeight="1" x14ac:dyDescent="0.2">
      <c r="B986" s="14"/>
    </row>
    <row r="987" spans="2:2" ht="15.75" customHeight="1" x14ac:dyDescent="0.2">
      <c r="B987" s="14"/>
    </row>
    <row r="988" spans="2:2" ht="15.75" customHeight="1" x14ac:dyDescent="0.2">
      <c r="B988" s="14"/>
    </row>
    <row r="989" spans="2:2" ht="15.75" customHeight="1" x14ac:dyDescent="0.2">
      <c r="B989" s="14"/>
    </row>
    <row r="990" spans="2:2" ht="15.75" customHeight="1" x14ac:dyDescent="0.2">
      <c r="B990" s="14"/>
    </row>
    <row r="991" spans="2:2" ht="15.75" customHeight="1" x14ac:dyDescent="0.2">
      <c r="B991" s="14"/>
    </row>
    <row r="992" spans="2:2" ht="15.75" customHeight="1" x14ac:dyDescent="0.2">
      <c r="B992" s="14"/>
    </row>
    <row r="993" spans="2:2" ht="15.75" customHeight="1" x14ac:dyDescent="0.2">
      <c r="B993" s="14"/>
    </row>
    <row r="994" spans="2:2" ht="15.75" customHeight="1" x14ac:dyDescent="0.2">
      <c r="B994" s="14"/>
    </row>
    <row r="995" spans="2:2" ht="15.75" customHeight="1" x14ac:dyDescent="0.2">
      <c r="B995" s="14"/>
    </row>
    <row r="996" spans="2:2" ht="15.75" customHeight="1" x14ac:dyDescent="0.2">
      <c r="B996" s="14"/>
    </row>
    <row r="997" spans="2:2" ht="15.75" customHeight="1" x14ac:dyDescent="0.2">
      <c r="B997" s="14"/>
    </row>
    <row r="998" spans="2:2" ht="15.75" customHeight="1" x14ac:dyDescent="0.2">
      <c r="B998" s="14"/>
    </row>
    <row r="999" spans="2:2" ht="15.75" customHeight="1" x14ac:dyDescent="0.2">
      <c r="B999" s="14"/>
    </row>
    <row r="1000" spans="2:2" ht="15.75" customHeight="1" x14ac:dyDescent="0.2">
      <c r="B1000" s="14"/>
    </row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130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129</v>
      </c>
    </row>
    <row r="4" spans="1:10" x14ac:dyDescent="0.2">
      <c r="A4" s="4" t="s">
        <v>4</v>
      </c>
      <c r="B4" s="5">
        <f>(2.62+3.16)/2</f>
        <v>2.89</v>
      </c>
      <c r="C4" s="25">
        <v>2</v>
      </c>
      <c r="E4" s="4" t="s">
        <v>5</v>
      </c>
      <c r="F4" s="5">
        <f>(1.98+2.18)/2</f>
        <v>2.08</v>
      </c>
      <c r="G4" s="25">
        <v>2</v>
      </c>
      <c r="I4" s="6" t="s">
        <v>9</v>
      </c>
      <c r="J4" s="7">
        <v>3.11</v>
      </c>
    </row>
    <row r="5" spans="1:10" x14ac:dyDescent="0.2">
      <c r="A5" s="4" t="s">
        <v>7</v>
      </c>
      <c r="B5" s="9">
        <f>(5.46+5.54+2.39+5.16+2.29+4.27+4.95+3.27+4.55+4.87+5.25+3.5+3.83+3.03+4.35+2.95+2+3.5+2.9+0.09+3.1+3.84+3.96+3.53+4.8+4.16+3.85+3.55+3.85+2.68+3.72+3.62+2.62)/33</f>
        <v>3.6796969696969697</v>
      </c>
      <c r="C5" s="26">
        <v>33</v>
      </c>
      <c r="E5" s="4" t="s">
        <v>8</v>
      </c>
      <c r="F5" s="9">
        <f>(3.21+1.62+1.82+2.51+2.14+2.18)/6</f>
        <v>2.2466666666666666</v>
      </c>
      <c r="G5" s="26">
        <v>6</v>
      </c>
      <c r="I5" s="6" t="s">
        <v>12</v>
      </c>
      <c r="J5" s="7">
        <v>3.41</v>
      </c>
    </row>
    <row r="6" spans="1:10" x14ac:dyDescent="0.2">
      <c r="A6" s="4" t="s">
        <v>10</v>
      </c>
      <c r="B6" s="9">
        <v>3.4</v>
      </c>
      <c r="C6" s="26">
        <v>1</v>
      </c>
      <c r="E6" s="4" t="s">
        <v>11</v>
      </c>
      <c r="F6" s="9">
        <f>(2.14+2.32+2.22+1.76+2.3+2.05+2.71+0.8+2.76+0.75+3.12+2.59+3+3.26+3.02+2.71+2.43+2.54+2.28)/19</f>
        <v>2.3557894736842107</v>
      </c>
      <c r="G6" s="26">
        <v>19</v>
      </c>
      <c r="I6" s="6" t="s">
        <v>16</v>
      </c>
      <c r="J6" s="7">
        <v>3.08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1.76</v>
      </c>
      <c r="G7" s="25">
        <v>1</v>
      </c>
      <c r="I7" s="6" t="s">
        <v>19</v>
      </c>
      <c r="J7" s="7">
        <v>3.17</v>
      </c>
    </row>
    <row r="8" spans="1:10" x14ac:dyDescent="0.2">
      <c r="A8" s="4" t="s">
        <v>17</v>
      </c>
      <c r="B8" s="5">
        <f>(2.57+1.83+2.6+0.11+2.33)/5</f>
        <v>1.8880000000000003</v>
      </c>
      <c r="C8" s="25">
        <v>5</v>
      </c>
      <c r="E8" s="4" t="s">
        <v>18</v>
      </c>
      <c r="F8" s="5">
        <f>(0+2.49+1.94+2.42+3.43+2.39+1.51+3.8)/8</f>
        <v>2.2475000000000001</v>
      </c>
      <c r="G8" s="25">
        <v>8</v>
      </c>
      <c r="I8" s="6" t="s">
        <v>22</v>
      </c>
      <c r="J8" s="7">
        <v>3.71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(2.9+2.27+2.19+2.82)/4</f>
        <v>2.5449999999999999</v>
      </c>
      <c r="G9" s="26">
        <v>4</v>
      </c>
      <c r="I9" s="6" t="s">
        <v>25</v>
      </c>
      <c r="J9" s="7">
        <v>3.95</v>
      </c>
    </row>
    <row r="10" spans="1:10" x14ac:dyDescent="0.2">
      <c r="A10" s="4" t="s">
        <v>23</v>
      </c>
      <c r="B10" s="9">
        <v>2.98</v>
      </c>
      <c r="C10" s="26">
        <v>1</v>
      </c>
      <c r="E10" s="4" t="s">
        <v>24</v>
      </c>
      <c r="F10" s="9">
        <f>(0.35+2.14+2.42+3.42+3.11)/5</f>
        <v>2.2879999999999998</v>
      </c>
      <c r="G10" s="26">
        <v>5</v>
      </c>
      <c r="I10" s="6" t="s">
        <v>28</v>
      </c>
      <c r="J10" s="7">
        <v>3.81</v>
      </c>
    </row>
    <row r="11" spans="1:10" x14ac:dyDescent="0.2">
      <c r="A11" s="4" t="s">
        <v>26</v>
      </c>
      <c r="B11" s="5">
        <f>(2.24+2.39)/2</f>
        <v>2.3150000000000004</v>
      </c>
      <c r="C11" s="25">
        <v>2</v>
      </c>
      <c r="E11" s="4" t="s">
        <v>27</v>
      </c>
      <c r="F11" s="5">
        <f>(2.08+2.12+2.27+2.23+0.68+2.49+2.59+2.23+2.36+1.9)/10</f>
        <v>2.0949999999999998</v>
      </c>
      <c r="G11" s="25">
        <v>10</v>
      </c>
      <c r="I11" s="6" t="s">
        <v>32</v>
      </c>
      <c r="J11" s="7">
        <v>3.76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35</v>
      </c>
      <c r="J12" s="7">
        <v>3.74</v>
      </c>
    </row>
    <row r="13" spans="1:10" x14ac:dyDescent="0.2">
      <c r="A13" s="4" t="s">
        <v>33</v>
      </c>
      <c r="B13" s="9" t="s">
        <v>14</v>
      </c>
      <c r="C13" s="26">
        <v>0</v>
      </c>
      <c r="E13" s="4" t="s">
        <v>34</v>
      </c>
      <c r="F13" s="9" t="s">
        <v>14</v>
      </c>
      <c r="G13" s="26">
        <v>0</v>
      </c>
      <c r="I13" s="6" t="s">
        <v>38</v>
      </c>
      <c r="J13" s="7">
        <v>2.77</v>
      </c>
    </row>
    <row r="14" spans="1:10" x14ac:dyDescent="0.2">
      <c r="A14" s="4" t="s">
        <v>36</v>
      </c>
      <c r="B14" s="9">
        <v>3.62</v>
      </c>
      <c r="C14" s="26">
        <v>1</v>
      </c>
      <c r="E14" s="4" t="s">
        <v>37</v>
      </c>
      <c r="F14" s="9">
        <f>(2.51+2.27+2.11+2.13+2.04+2.15+2.12+2.01+2.43+2.17+2.03+2.52+1.75+2.22+2.23+2.48+1.95+2.3+2.45+2.07+2.39)/21</f>
        <v>2.2061904761904763</v>
      </c>
      <c r="G14" s="26">
        <v>21</v>
      </c>
      <c r="I14" s="6" t="s">
        <v>41</v>
      </c>
      <c r="J14" s="7">
        <v>3.83</v>
      </c>
    </row>
    <row r="15" spans="1:10" x14ac:dyDescent="0.2">
      <c r="A15" s="4" t="s">
        <v>39</v>
      </c>
      <c r="B15" s="5">
        <v>3.64</v>
      </c>
      <c r="C15" s="25">
        <v>1</v>
      </c>
      <c r="E15" s="4" t="s">
        <v>40</v>
      </c>
      <c r="F15" s="5" t="s">
        <v>14</v>
      </c>
      <c r="G15" s="25">
        <v>0</v>
      </c>
      <c r="I15" s="6" t="s">
        <v>44</v>
      </c>
      <c r="J15" s="7">
        <v>3.61</v>
      </c>
    </row>
    <row r="16" spans="1:10" x14ac:dyDescent="0.2">
      <c r="A16" s="4" t="s">
        <v>42</v>
      </c>
      <c r="B16" s="5">
        <f>(5.15+5.9+3.78)/3</f>
        <v>4.9433333333333334</v>
      </c>
      <c r="C16" s="25">
        <v>3</v>
      </c>
      <c r="E16" s="4" t="s">
        <v>43</v>
      </c>
      <c r="F16" s="5">
        <v>2.1</v>
      </c>
      <c r="G16" s="25">
        <v>1</v>
      </c>
      <c r="I16" s="6" t="s">
        <v>47</v>
      </c>
      <c r="J16" s="7">
        <v>2.82</v>
      </c>
    </row>
    <row r="17" spans="1:10" x14ac:dyDescent="0.2">
      <c r="A17" s="4" t="s">
        <v>45</v>
      </c>
      <c r="B17" s="9">
        <v>3.75</v>
      </c>
      <c r="C17" s="26">
        <v>1</v>
      </c>
      <c r="E17" s="4" t="s">
        <v>46</v>
      </c>
      <c r="F17" s="9">
        <f>(4.1+1.7+2.86+2.85+1.81+2.01+2.34+2.37+2.88+3.19)/10</f>
        <v>2.6110000000000002</v>
      </c>
      <c r="G17" s="26">
        <v>10</v>
      </c>
      <c r="I17" s="6" t="s">
        <v>50</v>
      </c>
      <c r="J17" s="7">
        <v>2.5</v>
      </c>
    </row>
    <row r="18" spans="1:10" x14ac:dyDescent="0.2">
      <c r="A18" s="4" t="s">
        <v>48</v>
      </c>
      <c r="B18" s="9" t="s">
        <v>14</v>
      </c>
      <c r="C18" s="26">
        <v>0</v>
      </c>
      <c r="E18" s="4" t="s">
        <v>49</v>
      </c>
      <c r="F18" s="9">
        <f>(2.95+2.96+3.84+2.35+4.63+5.46+0.58+2.9+2.36+5.49+5.43+5.06+3.12+4.82+3.14+2.77+2.86+4.26+2.97+0.28+4.04+5.31+3.92+3.71+2.53)/25</f>
        <v>3.5096000000000003</v>
      </c>
      <c r="G18" s="26">
        <v>25</v>
      </c>
      <c r="I18" s="6" t="s">
        <v>53</v>
      </c>
      <c r="J18" s="7">
        <v>3.85</v>
      </c>
    </row>
    <row r="19" spans="1:10" x14ac:dyDescent="0.2">
      <c r="A19" s="4" t="s">
        <v>51</v>
      </c>
      <c r="B19" s="24" t="s">
        <v>14</v>
      </c>
      <c r="C19" s="29">
        <v>0</v>
      </c>
      <c r="E19" s="4" t="s">
        <v>52</v>
      </c>
      <c r="F19" s="5">
        <f>(2.39+1.12+1.27)/3</f>
        <v>1.5933333333333335</v>
      </c>
      <c r="G19" s="25">
        <v>3</v>
      </c>
      <c r="I19" s="6" t="s">
        <v>56</v>
      </c>
      <c r="J19" s="7">
        <v>3.53</v>
      </c>
    </row>
    <row r="20" spans="1:10" x14ac:dyDescent="0.2">
      <c r="A20" s="4" t="s">
        <v>54</v>
      </c>
      <c r="B20" s="24">
        <f>(2.73+2.09+2.09+2.39+2.39+2.21)/6</f>
        <v>2.3166666666666669</v>
      </c>
      <c r="C20" s="29">
        <v>6</v>
      </c>
      <c r="E20" s="4" t="s">
        <v>55</v>
      </c>
      <c r="F20" s="5">
        <f>(2.31+2.66+2.56+2.33)/4</f>
        <v>2.4650000000000003</v>
      </c>
      <c r="G20" s="25">
        <v>4</v>
      </c>
      <c r="I20" s="6" t="s">
        <v>59</v>
      </c>
      <c r="J20" s="7">
        <v>2.96</v>
      </c>
    </row>
    <row r="21" spans="1:10" ht="15.75" customHeight="1" x14ac:dyDescent="0.2">
      <c r="A21" s="4" t="s">
        <v>57</v>
      </c>
      <c r="B21" s="9" t="s">
        <v>14</v>
      </c>
      <c r="C21" s="26">
        <v>0</v>
      </c>
      <c r="E21" s="4" t="s">
        <v>58</v>
      </c>
      <c r="F21" s="9">
        <f>(2.41+2.21+2.28+2.6+3.29+1.9)/6</f>
        <v>2.4483333333333333</v>
      </c>
      <c r="G21" s="26">
        <v>6</v>
      </c>
      <c r="I21" s="6" t="s">
        <v>62</v>
      </c>
      <c r="J21" s="7">
        <v>3.55</v>
      </c>
    </row>
    <row r="22" spans="1:10" ht="15.75" customHeight="1" x14ac:dyDescent="0.2">
      <c r="A22" s="4" t="s">
        <v>60</v>
      </c>
      <c r="B22" s="9" t="s">
        <v>14</v>
      </c>
      <c r="C22" s="26">
        <v>0</v>
      </c>
      <c r="E22" s="4" t="s">
        <v>61</v>
      </c>
      <c r="F22" s="9" t="s">
        <v>14</v>
      </c>
      <c r="G22" s="26">
        <v>0</v>
      </c>
      <c r="I22" s="6" t="s">
        <v>65</v>
      </c>
      <c r="J22" s="7">
        <v>3.63</v>
      </c>
    </row>
    <row r="23" spans="1:10" ht="15.75" customHeight="1" x14ac:dyDescent="0.2">
      <c r="A23" s="4" t="s">
        <v>63</v>
      </c>
      <c r="B23" s="5">
        <v>2.33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3.52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3.64</v>
      </c>
    </row>
    <row r="25" spans="1:10" ht="15.75" customHeight="1" x14ac:dyDescent="0.2">
      <c r="A25" s="4" t="s">
        <v>69</v>
      </c>
      <c r="B25" s="9">
        <f>(2.5+3.08+2.66)/3</f>
        <v>2.7466666666666666</v>
      </c>
      <c r="C25" s="26">
        <v>3</v>
      </c>
      <c r="E25" s="4" t="s">
        <v>70</v>
      </c>
      <c r="F25" s="9">
        <v>2.9</v>
      </c>
      <c r="G25" s="26">
        <v>1</v>
      </c>
      <c r="I25" s="6" t="s">
        <v>74</v>
      </c>
      <c r="J25" s="7">
        <v>4.1500000000000004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f>(3.32+2.2)/2</f>
        <v>2.76</v>
      </c>
      <c r="G26" s="26">
        <v>2</v>
      </c>
      <c r="I26" s="6" t="s">
        <v>77</v>
      </c>
      <c r="J26" s="7">
        <v>3.83</v>
      </c>
    </row>
    <row r="27" spans="1:10" ht="15.75" customHeight="1" x14ac:dyDescent="0.2">
      <c r="A27" s="4" t="s">
        <v>75</v>
      </c>
      <c r="B27" s="5">
        <v>3.78</v>
      </c>
      <c r="C27" s="25">
        <v>1</v>
      </c>
      <c r="E27" s="4" t="s">
        <v>76</v>
      </c>
      <c r="F27" s="5">
        <f>(2.58+3.47+2.67+3.2+2.83+3.13)/6</f>
        <v>2.9800000000000004</v>
      </c>
      <c r="G27" s="25">
        <v>6</v>
      </c>
      <c r="I27" s="6" t="s">
        <v>80</v>
      </c>
      <c r="J27" s="7">
        <v>3.45</v>
      </c>
    </row>
    <row r="28" spans="1:10" ht="15.75" customHeight="1" x14ac:dyDescent="0.2">
      <c r="A28" s="4" t="s">
        <v>78</v>
      </c>
      <c r="B28" s="5">
        <f>(3.43+3.03+2.44+2.26+1.8+2.98+2.99)/7</f>
        <v>2.7042857142857142</v>
      </c>
      <c r="C28" s="25">
        <v>7</v>
      </c>
      <c r="E28" s="4" t="s">
        <v>79</v>
      </c>
      <c r="F28" s="5">
        <f>(0.14+4.43+2.75+2.67+3.32+3.3+4.42+3.63+2.67+3.46+6.76+3.52+3.63+3.31+3.65)/15</f>
        <v>3.4440000000000004</v>
      </c>
      <c r="G28" s="25">
        <v>15</v>
      </c>
      <c r="I28" s="6" t="s">
        <v>83</v>
      </c>
      <c r="J28" s="7">
        <v>3.4</v>
      </c>
    </row>
    <row r="29" spans="1:10" ht="15.75" customHeight="1" x14ac:dyDescent="0.2">
      <c r="A29" s="4" t="s">
        <v>81</v>
      </c>
      <c r="B29" s="9">
        <f>(3.2+2.43+3.03+3.23+2.82)/5</f>
        <v>2.9420000000000002</v>
      </c>
      <c r="C29" s="26">
        <v>5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4</v>
      </c>
    </row>
    <row r="30" spans="1:10" ht="15.75" customHeight="1" x14ac:dyDescent="0.2">
      <c r="A30" s="4" t="s">
        <v>84</v>
      </c>
      <c r="B30" s="9">
        <f>(1.14+0.97)/2</f>
        <v>1.0549999999999999</v>
      </c>
      <c r="C30" s="26">
        <v>2</v>
      </c>
      <c r="E30" s="4" t="s">
        <v>85</v>
      </c>
      <c r="F30" s="9">
        <f>(2.64+2.67)/2</f>
        <v>2.6550000000000002</v>
      </c>
      <c r="G30" s="26">
        <v>2</v>
      </c>
      <c r="I30" s="6" t="s">
        <v>89</v>
      </c>
      <c r="J30" s="7">
        <v>3.28</v>
      </c>
    </row>
    <row r="31" spans="1:10" ht="15.75" customHeight="1" x14ac:dyDescent="0.2">
      <c r="A31" s="4" t="s">
        <v>87</v>
      </c>
      <c r="B31" s="5">
        <v>2.41</v>
      </c>
      <c r="C31" s="25">
        <v>1</v>
      </c>
      <c r="E31" s="4" t="s">
        <v>88</v>
      </c>
      <c r="F31" s="5">
        <v>3.22</v>
      </c>
      <c r="G31" s="25">
        <v>1</v>
      </c>
      <c r="I31" s="6" t="s">
        <v>91</v>
      </c>
      <c r="J31" s="7">
        <v>3.73</v>
      </c>
    </row>
    <row r="32" spans="1:10" ht="15.75" customHeight="1" x14ac:dyDescent="0.2">
      <c r="A32" s="4" t="s">
        <v>65</v>
      </c>
      <c r="B32" s="5" t="s">
        <v>14</v>
      </c>
      <c r="C32" s="25">
        <v>0</v>
      </c>
      <c r="E32" s="4" t="s">
        <v>90</v>
      </c>
      <c r="F32" s="5">
        <f>(3.48+2.03+3.77+2.01+2.54)/5</f>
        <v>2.7659999999999996</v>
      </c>
      <c r="G32" s="25">
        <v>5</v>
      </c>
      <c r="I32" s="6" t="s">
        <v>94</v>
      </c>
      <c r="J32" s="7">
        <v>2.9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(4.25+4.37)/2</f>
        <v>4.3100000000000005</v>
      </c>
      <c r="G33" s="26">
        <v>2</v>
      </c>
      <c r="I33" s="6" t="s">
        <v>97</v>
      </c>
      <c r="J33" s="7">
        <v>3.07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3.66</v>
      </c>
      <c r="G34" s="26">
        <v>1</v>
      </c>
      <c r="I34" s="6" t="s">
        <v>100</v>
      </c>
      <c r="J34" s="7">
        <v>3.92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(2.82+3.71)/2</f>
        <v>3.2649999999999997</v>
      </c>
      <c r="G35" s="25">
        <v>2</v>
      </c>
      <c r="I35" s="6" t="s">
        <v>103</v>
      </c>
      <c r="J35" s="7">
        <v>3.5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(4.19+2.93+2.95)/3</f>
        <v>3.3566666666666669</v>
      </c>
      <c r="G36" s="25">
        <v>3</v>
      </c>
      <c r="I36" s="6" t="s">
        <v>105</v>
      </c>
      <c r="J36" s="7">
        <v>3.06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3.3</v>
      </c>
    </row>
    <row r="38" spans="1:10" ht="15.75" customHeight="1" x14ac:dyDescent="0.2">
      <c r="I38" s="6" t="s">
        <v>107</v>
      </c>
      <c r="J38" s="7">
        <v>2.86</v>
      </c>
    </row>
    <row r="39" spans="1:10" ht="15.75" customHeight="1" x14ac:dyDescent="0.2">
      <c r="I39" s="6" t="s">
        <v>108</v>
      </c>
      <c r="J39" s="7">
        <v>2.89</v>
      </c>
    </row>
    <row r="40" spans="1:10" ht="15.75" customHeight="1" x14ac:dyDescent="0.2">
      <c r="I40" s="6" t="s">
        <v>109</v>
      </c>
      <c r="J40" s="7">
        <v>3.47</v>
      </c>
    </row>
    <row r="41" spans="1:10" ht="15.75" customHeight="1" x14ac:dyDescent="0.2">
      <c r="I41" s="6" t="s">
        <v>110</v>
      </c>
      <c r="J41" s="7">
        <v>3.06</v>
      </c>
    </row>
    <row r="42" spans="1:10" ht="15.75" customHeight="1" x14ac:dyDescent="0.2">
      <c r="I42" s="6" t="s">
        <v>111</v>
      </c>
      <c r="J42" s="7">
        <v>3.32</v>
      </c>
    </row>
    <row r="43" spans="1:10" ht="15.75" customHeight="1" x14ac:dyDescent="0.2">
      <c r="I43" s="6" t="s">
        <v>112</v>
      </c>
      <c r="J43" s="7">
        <v>3.76</v>
      </c>
    </row>
    <row r="44" spans="1:10" ht="15.75" customHeight="1" x14ac:dyDescent="0.2">
      <c r="I44" s="6" t="s">
        <v>113</v>
      </c>
      <c r="J44" s="7">
        <v>3.56</v>
      </c>
    </row>
    <row r="45" spans="1:10" ht="15.75" customHeight="1" x14ac:dyDescent="0.2">
      <c r="I45" s="6" t="s">
        <v>114</v>
      </c>
      <c r="J45" s="7">
        <v>2.9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131</v>
      </c>
      <c r="B2" s="31"/>
      <c r="C2" s="31"/>
      <c r="D2" s="31"/>
      <c r="E2" s="31"/>
      <c r="F2" s="31"/>
      <c r="G2" s="31"/>
      <c r="H2" s="31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132</v>
      </c>
    </row>
    <row r="4" spans="1:10" x14ac:dyDescent="0.2">
      <c r="A4" s="4" t="s">
        <v>4</v>
      </c>
      <c r="B4" s="5">
        <f>(1.8+4.44)/2</f>
        <v>3.12</v>
      </c>
      <c r="C4" s="25">
        <v>2</v>
      </c>
      <c r="E4" s="4" t="s">
        <v>5</v>
      </c>
      <c r="F4" s="5">
        <f>(3.27+3.21)/2</f>
        <v>3.24</v>
      </c>
      <c r="G4" s="25">
        <v>2</v>
      </c>
      <c r="I4" s="6" t="s">
        <v>9</v>
      </c>
      <c r="J4" s="7">
        <v>4.6100000000000003</v>
      </c>
    </row>
    <row r="5" spans="1:10" x14ac:dyDescent="0.2">
      <c r="A5" s="4" t="s">
        <v>7</v>
      </c>
      <c r="B5" s="9">
        <f>(6.51+6.85+2.42+7.03+6.79+3.12+6.52+5+6.9+3.29+6.42+6.02+6.29+6.58+4.98+6.8+6.01+3.22+1.26+2.48+2.38+1.72+3.02+2.93+7.64+4.6+6.24+3.4+3.84+2.98+4.91+7.84+4.01+5.35)/34</f>
        <v>4.8632352941176471</v>
      </c>
      <c r="C5" s="26">
        <v>34</v>
      </c>
      <c r="E5" s="4" t="s">
        <v>8</v>
      </c>
      <c r="F5" s="9">
        <f>(6+4.98+5.08+6.34+6.33+3.37)/6</f>
        <v>5.3500000000000005</v>
      </c>
      <c r="G5" s="26">
        <v>6</v>
      </c>
      <c r="I5" s="6" t="s">
        <v>12</v>
      </c>
      <c r="J5" s="7">
        <v>4.93</v>
      </c>
    </row>
    <row r="6" spans="1:10" x14ac:dyDescent="0.2">
      <c r="A6" s="4" t="s">
        <v>10</v>
      </c>
      <c r="B6" s="9">
        <v>6.81</v>
      </c>
      <c r="C6" s="26">
        <v>1</v>
      </c>
      <c r="E6" s="4" t="s">
        <v>11</v>
      </c>
      <c r="F6" s="9">
        <f>(7+5.33+4.17+7.2+4.54+4.34+5.11+6.69+2.46+4.8+6.09+4.62+4.41+6.45+7.66+6.99+1.25+7.23+4.46+4.54)/20</f>
        <v>5.2669999999999995</v>
      </c>
      <c r="G6" s="26">
        <v>20</v>
      </c>
      <c r="I6" s="6" t="s">
        <v>16</v>
      </c>
      <c r="J6" s="7">
        <v>4.79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3.1</v>
      </c>
      <c r="G7" s="25">
        <v>1</v>
      </c>
      <c r="I7" s="6" t="s">
        <v>19</v>
      </c>
      <c r="J7" s="7">
        <v>4.84</v>
      </c>
    </row>
    <row r="8" spans="1:10" x14ac:dyDescent="0.2">
      <c r="A8" s="4" t="s">
        <v>17</v>
      </c>
      <c r="B8" s="5">
        <f>(7.46+5.31+5.79+6.86)/4</f>
        <v>6.3549999999999995</v>
      </c>
      <c r="C8" s="25">
        <v>4</v>
      </c>
      <c r="E8" s="4" t="s">
        <v>18</v>
      </c>
      <c r="F8" s="5">
        <f>(4.34+4.42+5.06+3.83+3.4+4.06+4.2+4.3+3.45)/9</f>
        <v>4.1177777777777775</v>
      </c>
      <c r="G8" s="25">
        <v>9</v>
      </c>
      <c r="I8" s="6" t="s">
        <v>22</v>
      </c>
      <c r="J8" s="7">
        <v>4.7300000000000004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(4.32+4.4+4.75)/3</f>
        <v>4.49</v>
      </c>
      <c r="G9" s="26">
        <v>3</v>
      </c>
      <c r="I9" s="6" t="s">
        <v>25</v>
      </c>
      <c r="J9" s="7">
        <v>5.14</v>
      </c>
    </row>
    <row r="10" spans="1:10" x14ac:dyDescent="0.2">
      <c r="A10" s="4" t="s">
        <v>23</v>
      </c>
      <c r="B10" s="9">
        <v>5.0999999999999996</v>
      </c>
      <c r="C10" s="26">
        <v>1</v>
      </c>
      <c r="E10" s="4" t="s">
        <v>24</v>
      </c>
      <c r="F10" s="9">
        <f>(5.44+6.17+6.02+7.78+8.47)/5</f>
        <v>6.7760000000000007</v>
      </c>
      <c r="G10" s="26">
        <v>5</v>
      </c>
      <c r="I10" s="6" t="s">
        <v>28</v>
      </c>
      <c r="J10" s="7">
        <v>5.0599999999999996</v>
      </c>
    </row>
    <row r="11" spans="1:10" x14ac:dyDescent="0.2">
      <c r="A11" s="4" t="s">
        <v>26</v>
      </c>
      <c r="B11" s="5">
        <f>(7.33+6.49)/2</f>
        <v>6.91</v>
      </c>
      <c r="C11" s="25">
        <v>2</v>
      </c>
      <c r="E11" s="4" t="s">
        <v>27</v>
      </c>
      <c r="F11" s="5">
        <f>(4.61+4.82+5.18+4.39+4.82+4.21+4.66+4.46+4.32+4.38)/10</f>
        <v>4.585</v>
      </c>
      <c r="G11" s="25">
        <v>10</v>
      </c>
      <c r="I11" s="6" t="s">
        <v>32</v>
      </c>
      <c r="J11" s="7">
        <v>5.2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35</v>
      </c>
      <c r="J12" s="7">
        <v>5.08</v>
      </c>
    </row>
    <row r="13" spans="1:10" x14ac:dyDescent="0.2">
      <c r="A13" s="4" t="s">
        <v>33</v>
      </c>
      <c r="B13" s="9" t="s">
        <v>14</v>
      </c>
      <c r="C13" s="26">
        <v>0</v>
      </c>
      <c r="E13" s="4" t="s">
        <v>34</v>
      </c>
      <c r="F13" s="9" t="s">
        <v>14</v>
      </c>
      <c r="G13" s="26">
        <v>0</v>
      </c>
      <c r="I13" s="6" t="s">
        <v>38</v>
      </c>
      <c r="J13" s="7">
        <v>5.04</v>
      </c>
    </row>
    <row r="14" spans="1:10" x14ac:dyDescent="0.2">
      <c r="A14" s="4" t="s">
        <v>36</v>
      </c>
      <c r="B14" s="9">
        <v>3.95</v>
      </c>
      <c r="C14" s="26">
        <v>1</v>
      </c>
      <c r="E14" s="4" t="s">
        <v>37</v>
      </c>
      <c r="F14" s="9">
        <f>(4.81+4.9+5.32+5.34+4.59+7.13+4.77+5.42+4.99+5.47+3.99+1.81+4.3+5.2+5.26+4.15+5.13+4.76+4.61+5.45+4.86+4.53)/22</f>
        <v>4.8540909090909103</v>
      </c>
      <c r="G14" s="26">
        <v>22</v>
      </c>
      <c r="I14" s="6" t="s">
        <v>41</v>
      </c>
      <c r="J14" s="7">
        <v>5.78</v>
      </c>
    </row>
    <row r="15" spans="1:10" x14ac:dyDescent="0.2">
      <c r="A15" s="4" t="s">
        <v>39</v>
      </c>
      <c r="B15" s="5">
        <v>5.56</v>
      </c>
      <c r="C15" s="25">
        <v>1</v>
      </c>
      <c r="E15" s="4" t="s">
        <v>40</v>
      </c>
      <c r="F15" s="5" t="s">
        <v>14</v>
      </c>
      <c r="G15" s="25">
        <v>0</v>
      </c>
      <c r="I15" s="6" t="s">
        <v>44</v>
      </c>
      <c r="J15" s="7">
        <v>5.78</v>
      </c>
    </row>
    <row r="16" spans="1:10" x14ac:dyDescent="0.2">
      <c r="A16" s="4" t="s">
        <v>42</v>
      </c>
      <c r="B16" s="5">
        <f>(4.73+5.56+5.36)/3</f>
        <v>5.2166666666666659</v>
      </c>
      <c r="C16" s="25">
        <v>3</v>
      </c>
      <c r="E16" s="4" t="s">
        <v>43</v>
      </c>
      <c r="F16" s="5">
        <v>5.26</v>
      </c>
      <c r="G16" s="25">
        <v>1</v>
      </c>
      <c r="I16" s="6" t="s">
        <v>47</v>
      </c>
      <c r="J16" s="7">
        <v>5.05</v>
      </c>
    </row>
    <row r="17" spans="1:10" x14ac:dyDescent="0.2">
      <c r="A17" s="4" t="s">
        <v>45</v>
      </c>
      <c r="B17" s="9">
        <v>5.52</v>
      </c>
      <c r="C17" s="26">
        <v>1</v>
      </c>
      <c r="E17" s="4" t="s">
        <v>46</v>
      </c>
      <c r="F17" s="9">
        <f>(4.35+4.03+4.83+4.41+4.46+3.59+4.45+3.47+3.9+4.9+2.83)/11</f>
        <v>4.1109090909090904</v>
      </c>
      <c r="G17" s="26">
        <v>11</v>
      </c>
      <c r="I17" s="6" t="s">
        <v>50</v>
      </c>
      <c r="J17" s="7">
        <v>4.03</v>
      </c>
    </row>
    <row r="18" spans="1:10" x14ac:dyDescent="0.2">
      <c r="A18" s="4" t="s">
        <v>48</v>
      </c>
      <c r="B18" s="9" t="s">
        <v>14</v>
      </c>
      <c r="C18" s="26">
        <v>0</v>
      </c>
      <c r="E18" s="4" t="s">
        <v>49</v>
      </c>
      <c r="F18" s="9">
        <f>(7.36+6.73+6.41+7.32+5.7+6.39+5.45+8.62+6.47+6.73+6.47+6.64+6.62+7.86+6.51+6.34+6.72+6.75+6.19+3.87+5.14+5.06+7.07)/23</f>
        <v>6.4530434782608692</v>
      </c>
      <c r="G18" s="26">
        <v>23</v>
      </c>
      <c r="I18" s="6" t="s">
        <v>53</v>
      </c>
      <c r="J18" s="7">
        <v>4.1399999999999997</v>
      </c>
    </row>
    <row r="19" spans="1:10" x14ac:dyDescent="0.2">
      <c r="A19" s="4" t="s">
        <v>51</v>
      </c>
      <c r="B19" s="24" t="s">
        <v>14</v>
      </c>
      <c r="C19" s="29">
        <v>0</v>
      </c>
      <c r="E19" s="4" t="s">
        <v>52</v>
      </c>
      <c r="F19" s="5">
        <f>(8.71+10.65+9.27)/3</f>
        <v>9.543333333333333</v>
      </c>
      <c r="G19" s="25">
        <v>3</v>
      </c>
      <c r="I19" s="6" t="s">
        <v>56</v>
      </c>
      <c r="J19" s="7">
        <v>4.63</v>
      </c>
    </row>
    <row r="20" spans="1:10" x14ac:dyDescent="0.2">
      <c r="A20" s="4" t="s">
        <v>54</v>
      </c>
      <c r="B20" s="24">
        <f>(5.52+4.84+5.55+5.46+4.92+4.9)/6</f>
        <v>5.1983333333333333</v>
      </c>
      <c r="C20" s="29">
        <v>6</v>
      </c>
      <c r="E20" s="4" t="s">
        <v>55</v>
      </c>
      <c r="F20" s="5">
        <f>(5.54+5.38+5.67+5.64)/4</f>
        <v>5.5575000000000001</v>
      </c>
      <c r="G20" s="25">
        <v>4</v>
      </c>
      <c r="I20" s="6" t="s">
        <v>59</v>
      </c>
      <c r="J20" s="7">
        <v>4.0999999999999996</v>
      </c>
    </row>
    <row r="21" spans="1:10" ht="15.75" customHeight="1" x14ac:dyDescent="0.2">
      <c r="A21" s="4" t="s">
        <v>57</v>
      </c>
      <c r="B21" s="9" t="s">
        <v>14</v>
      </c>
      <c r="C21" s="26">
        <v>0</v>
      </c>
      <c r="E21" s="4" t="s">
        <v>58</v>
      </c>
      <c r="F21" s="9">
        <f>(3.76+5.48+3.86+3.87+3.8+4.14)/6</f>
        <v>4.1516666666666664</v>
      </c>
      <c r="G21" s="26">
        <v>6</v>
      </c>
      <c r="I21" s="6" t="s">
        <v>62</v>
      </c>
      <c r="J21" s="7">
        <v>4.88</v>
      </c>
    </row>
    <row r="22" spans="1:10" ht="15.75" customHeight="1" x14ac:dyDescent="0.2">
      <c r="A22" s="4" t="s">
        <v>60</v>
      </c>
      <c r="B22" s="9" t="s">
        <v>14</v>
      </c>
      <c r="C22" s="26">
        <v>0</v>
      </c>
      <c r="E22" s="4" t="s">
        <v>61</v>
      </c>
      <c r="F22" s="9" t="s">
        <v>14</v>
      </c>
      <c r="G22" s="26">
        <v>0</v>
      </c>
      <c r="I22" s="6" t="s">
        <v>65</v>
      </c>
      <c r="J22" s="7">
        <v>4.8099999999999996</v>
      </c>
    </row>
    <row r="23" spans="1:10" ht="15.75" customHeight="1" x14ac:dyDescent="0.2">
      <c r="A23" s="4" t="s">
        <v>63</v>
      </c>
      <c r="B23" s="5">
        <v>6.83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5.24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5.2</v>
      </c>
    </row>
    <row r="25" spans="1:10" ht="15.75" customHeight="1" x14ac:dyDescent="0.2">
      <c r="A25" s="4" t="s">
        <v>69</v>
      </c>
      <c r="B25" s="9">
        <f>(4.68+6.69+4.5)/3</f>
        <v>5.29</v>
      </c>
      <c r="C25" s="26">
        <v>3</v>
      </c>
      <c r="E25" s="4" t="s">
        <v>70</v>
      </c>
      <c r="F25" s="9">
        <v>5.07</v>
      </c>
      <c r="G25" s="26">
        <v>1</v>
      </c>
      <c r="I25" s="6" t="s">
        <v>74</v>
      </c>
      <c r="J25" s="7">
        <v>5.72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f>(3.4+6.69)/2</f>
        <v>5.0449999999999999</v>
      </c>
      <c r="G26" s="26">
        <v>2</v>
      </c>
      <c r="I26" s="6" t="s">
        <v>77</v>
      </c>
      <c r="J26" s="7">
        <v>5.2</v>
      </c>
    </row>
    <row r="27" spans="1:10" ht="15.75" customHeight="1" x14ac:dyDescent="0.2">
      <c r="A27" s="4" t="s">
        <v>75</v>
      </c>
      <c r="B27" s="5">
        <v>3.91</v>
      </c>
      <c r="C27" s="25">
        <v>1</v>
      </c>
      <c r="E27" s="4" t="s">
        <v>76</v>
      </c>
      <c r="F27" s="5">
        <f>(7.13+6.95+6.72+7.64+2.24+5.95)/6</f>
        <v>6.1050000000000004</v>
      </c>
      <c r="G27" s="25">
        <v>6</v>
      </c>
      <c r="I27" s="6" t="s">
        <v>80</v>
      </c>
      <c r="J27" s="7">
        <v>4.71</v>
      </c>
    </row>
    <row r="28" spans="1:10" ht="15.75" customHeight="1" x14ac:dyDescent="0.2">
      <c r="A28" s="4" t="s">
        <v>78</v>
      </c>
      <c r="B28" s="5">
        <f>(5.26+5.06+6.89+4.82+4.3+5.21+5)/7</f>
        <v>5.2200000000000006</v>
      </c>
      <c r="C28" s="25">
        <v>7</v>
      </c>
      <c r="E28" s="4" t="s">
        <v>79</v>
      </c>
      <c r="F28" s="5">
        <f>(2.18+5.64+6.9+4.26+0.41+4.64+6.42+7.04+7.58+5.01+6.79+4.26+5.9+8.06+5.41)/15</f>
        <v>5.3666666666666663</v>
      </c>
      <c r="G28" s="25">
        <v>15</v>
      </c>
      <c r="I28" s="6" t="s">
        <v>83</v>
      </c>
      <c r="J28" s="7">
        <v>4.7</v>
      </c>
    </row>
    <row r="29" spans="1:10" ht="15.75" customHeight="1" x14ac:dyDescent="0.2">
      <c r="A29" s="4" t="s">
        <v>81</v>
      </c>
      <c r="B29" s="9">
        <f>(5.84+4.72+5.24+4.73+4.3)/5</f>
        <v>4.9660000000000002</v>
      </c>
      <c r="C29" s="26">
        <v>5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5.68</v>
      </c>
    </row>
    <row r="30" spans="1:10" ht="15.75" customHeight="1" x14ac:dyDescent="0.2">
      <c r="A30" s="4" t="s">
        <v>84</v>
      </c>
      <c r="B30" s="9">
        <f>(3.84+8.08)/2</f>
        <v>5.96</v>
      </c>
      <c r="C30" s="26">
        <v>2</v>
      </c>
      <c r="E30" s="4" t="s">
        <v>85</v>
      </c>
      <c r="F30" s="9">
        <f>(3.91+4.98)/2</f>
        <v>4.4450000000000003</v>
      </c>
      <c r="G30" s="26">
        <v>2</v>
      </c>
      <c r="I30" s="6" t="s">
        <v>89</v>
      </c>
      <c r="J30" s="7">
        <v>4.58</v>
      </c>
    </row>
    <row r="31" spans="1:10" ht="15.75" customHeight="1" x14ac:dyDescent="0.2">
      <c r="A31" s="4" t="s">
        <v>87</v>
      </c>
      <c r="B31" s="5">
        <f>(6.23+6.5)/2</f>
        <v>6.3650000000000002</v>
      </c>
      <c r="C31" s="25">
        <v>2</v>
      </c>
      <c r="E31" s="4" t="s">
        <v>88</v>
      </c>
      <c r="F31" s="5">
        <v>4.49</v>
      </c>
      <c r="G31" s="25">
        <v>1</v>
      </c>
      <c r="I31" s="6" t="s">
        <v>91</v>
      </c>
      <c r="J31" s="7">
        <v>4.83</v>
      </c>
    </row>
    <row r="32" spans="1:10" ht="15.75" customHeight="1" x14ac:dyDescent="0.2">
      <c r="A32" s="4" t="s">
        <v>65</v>
      </c>
      <c r="B32" s="5" t="s">
        <v>14</v>
      </c>
      <c r="C32" s="25">
        <v>0</v>
      </c>
      <c r="E32" s="4" t="s">
        <v>90</v>
      </c>
      <c r="F32" s="5">
        <f>(5.11+4.68+4.78+4.34+4.9)/5</f>
        <v>4.7620000000000005</v>
      </c>
      <c r="G32" s="25">
        <v>5</v>
      </c>
      <c r="I32" s="6" t="s">
        <v>94</v>
      </c>
      <c r="J32" s="7">
        <v>4.91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(6.78+6.16)/2</f>
        <v>6.4700000000000006</v>
      </c>
      <c r="G33" s="26">
        <v>2</v>
      </c>
      <c r="I33" s="6" t="s">
        <v>97</v>
      </c>
      <c r="J33" s="7">
        <v>4.91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7.23</v>
      </c>
      <c r="G34" s="26">
        <v>1</v>
      </c>
      <c r="I34" s="6" t="s">
        <v>100</v>
      </c>
      <c r="J34" s="7">
        <v>5.12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(4.29+4.97)/2</f>
        <v>4.63</v>
      </c>
      <c r="G35" s="25">
        <v>2</v>
      </c>
      <c r="I35" s="6" t="s">
        <v>103</v>
      </c>
      <c r="J35" s="7">
        <v>4.9000000000000004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(4.39+2.98+4.59)/3</f>
        <v>3.9866666666666664</v>
      </c>
      <c r="G36" s="25">
        <v>3</v>
      </c>
      <c r="I36" s="6" t="s">
        <v>105</v>
      </c>
      <c r="J36" s="7">
        <v>4.34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5</v>
      </c>
    </row>
    <row r="38" spans="1:10" ht="15.75" customHeight="1" x14ac:dyDescent="0.2">
      <c r="I38" s="6" t="s">
        <v>107</v>
      </c>
      <c r="J38" s="7">
        <v>4.51</v>
      </c>
    </row>
    <row r="39" spans="1:10" ht="15.75" customHeight="1" x14ac:dyDescent="0.2">
      <c r="I39" s="6" t="s">
        <v>108</v>
      </c>
      <c r="J39" s="7">
        <v>5.05</v>
      </c>
    </row>
    <row r="40" spans="1:10" ht="15.75" customHeight="1" x14ac:dyDescent="0.2">
      <c r="I40" s="6" t="s">
        <v>109</v>
      </c>
      <c r="J40" s="7">
        <v>4.8</v>
      </c>
    </row>
    <row r="41" spans="1:10" ht="15.75" customHeight="1" x14ac:dyDescent="0.2">
      <c r="I41" s="6" t="s">
        <v>110</v>
      </c>
      <c r="J41" s="7">
        <v>5.0599999999999996</v>
      </c>
    </row>
    <row r="42" spans="1:10" ht="15.75" customHeight="1" x14ac:dyDescent="0.2">
      <c r="I42" s="6" t="s">
        <v>111</v>
      </c>
      <c r="J42" s="7">
        <v>4.9000000000000004</v>
      </c>
    </row>
    <row r="43" spans="1:10" ht="15.75" customHeight="1" x14ac:dyDescent="0.2">
      <c r="I43" s="6" t="s">
        <v>112</v>
      </c>
      <c r="J43" s="7">
        <v>5.48</v>
      </c>
    </row>
    <row r="44" spans="1:10" ht="15.75" customHeight="1" x14ac:dyDescent="0.2">
      <c r="I44" s="6" t="s">
        <v>113</v>
      </c>
      <c r="J44" s="7">
        <v>4.92</v>
      </c>
    </row>
    <row r="45" spans="1:10" ht="15.75" customHeight="1" x14ac:dyDescent="0.2">
      <c r="I45" s="6" t="s">
        <v>114</v>
      </c>
      <c r="J45" s="7">
        <v>4.2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J1000"/>
  <sheetViews>
    <sheetView workbookViewId="0"/>
  </sheetViews>
  <sheetFormatPr baseColWidth="10" defaultColWidth="14.5" defaultRowHeight="15" customHeight="1" x14ac:dyDescent="0.2"/>
  <cols>
    <col min="1" max="1" width="10.5" customWidth="1"/>
    <col min="2" max="4" width="8.6640625" customWidth="1"/>
    <col min="5" max="5" width="12.5" customWidth="1"/>
    <col min="6" max="8" width="8.6640625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133</v>
      </c>
      <c r="B2" s="31"/>
      <c r="C2" s="31"/>
      <c r="D2" s="31"/>
      <c r="E2" s="31"/>
      <c r="F2" s="31"/>
      <c r="G2" s="31"/>
      <c r="H2" s="31"/>
    </row>
    <row r="3" spans="1:10" ht="48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134</v>
      </c>
    </row>
    <row r="4" spans="1:10" x14ac:dyDescent="0.2">
      <c r="A4" s="4" t="s">
        <v>4</v>
      </c>
      <c r="B4" s="7">
        <f>(3.72+2.97)/2</f>
        <v>3.3450000000000002</v>
      </c>
      <c r="C4" s="6">
        <v>2</v>
      </c>
      <c r="E4" s="4" t="s">
        <v>5</v>
      </c>
      <c r="F4" s="5">
        <f>(3.7+4.82)/2</f>
        <v>4.26</v>
      </c>
      <c r="G4" s="25">
        <v>2</v>
      </c>
      <c r="I4" s="6" t="s">
        <v>9</v>
      </c>
      <c r="J4" s="7">
        <v>4.7300000000000004</v>
      </c>
    </row>
    <row r="5" spans="1:10" x14ac:dyDescent="0.2">
      <c r="A5" s="4" t="s">
        <v>7</v>
      </c>
      <c r="B5" s="9">
        <f>(5.56+5.9+4.82+5.84+5.87+5.98+4.98+5.21+5.24+5.53+5.67+5.3+4.28+5.49+5.49+4.87+4.13+5.12+6.02+2.57+5.34+5.37+7.45+5.75+7.22+5.5+5.41+5.29+5.33+5.76+8.12+5.42+4.78+4.14+5.47)/35</f>
        <v>5.4348571428571422</v>
      </c>
      <c r="C5" s="26">
        <v>35</v>
      </c>
      <c r="E5" s="4" t="s">
        <v>8</v>
      </c>
      <c r="F5" s="9">
        <f>(8.54+8.01+9.4+7.59+5.72+8.41+6.88)/7</f>
        <v>7.7928571428571418</v>
      </c>
      <c r="G5" s="26">
        <v>7</v>
      </c>
      <c r="I5" s="6" t="s">
        <v>12</v>
      </c>
      <c r="J5" s="7">
        <v>4.9800000000000004</v>
      </c>
    </row>
    <row r="6" spans="1:10" x14ac:dyDescent="0.2">
      <c r="A6" s="4" t="s">
        <v>10</v>
      </c>
      <c r="B6" s="9">
        <v>2.81</v>
      </c>
      <c r="C6" s="26">
        <v>1</v>
      </c>
      <c r="E6" s="4" t="s">
        <v>11</v>
      </c>
      <c r="F6" s="9">
        <f>(5.2+3.33+3.28+5.6+4.46+4.33+0+4.66+2.86+4.73+2.96+4.61+0.77+4.77+5.92+4.4+3.45+5.82+4.14+3.42)/20</f>
        <v>3.9355000000000002</v>
      </c>
      <c r="G6" s="26">
        <v>20</v>
      </c>
      <c r="I6" s="6" t="s">
        <v>16</v>
      </c>
      <c r="J6" s="7">
        <v>4.9000000000000004</v>
      </c>
    </row>
    <row r="7" spans="1:10" x14ac:dyDescent="0.2">
      <c r="A7" s="4" t="s">
        <v>13</v>
      </c>
      <c r="B7" s="5" t="s">
        <v>14</v>
      </c>
      <c r="C7" s="25">
        <v>0</v>
      </c>
      <c r="E7" s="4" t="s">
        <v>15</v>
      </c>
      <c r="F7" s="5">
        <v>0.01</v>
      </c>
      <c r="G7" s="25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5">
        <f>(5.08+5.43+6.57+5.84)/4</f>
        <v>5.7299999999999995</v>
      </c>
      <c r="C8" s="25">
        <v>4</v>
      </c>
      <c r="E8" s="4" t="s">
        <v>18</v>
      </c>
      <c r="F8" s="5">
        <f>(7.16+6.53+5.88+6.42+1.7+8.8+6.03+7.79+2.72)/9</f>
        <v>5.8922222222222222</v>
      </c>
      <c r="G8" s="25">
        <v>9</v>
      </c>
      <c r="I8" s="6" t="s">
        <v>22</v>
      </c>
      <c r="J8" s="7">
        <v>4.91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(5.66+0.08+7.08+8.11)/4</f>
        <v>5.2324999999999999</v>
      </c>
      <c r="G9" s="26">
        <v>4</v>
      </c>
      <c r="I9" s="6" t="s">
        <v>25</v>
      </c>
      <c r="J9" s="7">
        <v>5.27</v>
      </c>
    </row>
    <row r="10" spans="1:10" x14ac:dyDescent="0.2">
      <c r="A10" s="4" t="s">
        <v>23</v>
      </c>
      <c r="B10" s="9">
        <v>3.02</v>
      </c>
      <c r="C10" s="26">
        <v>1</v>
      </c>
      <c r="E10" s="4" t="s">
        <v>24</v>
      </c>
      <c r="F10" s="9">
        <f>(3.75+3.22+2.92+2.23+2.34)/5</f>
        <v>2.8920000000000003</v>
      </c>
      <c r="G10" s="26">
        <v>5</v>
      </c>
      <c r="I10" s="6" t="s">
        <v>28</v>
      </c>
      <c r="J10" s="7">
        <v>6.13</v>
      </c>
    </row>
    <row r="11" spans="1:10" x14ac:dyDescent="0.2">
      <c r="A11" s="4" t="s">
        <v>26</v>
      </c>
      <c r="B11" s="5">
        <f>(4.32+5.26)/2</f>
        <v>4.79</v>
      </c>
      <c r="C11" s="25">
        <v>2</v>
      </c>
      <c r="E11" s="4" t="s">
        <v>27</v>
      </c>
      <c r="F11" s="5">
        <f>(8.24+7.01+6.78+7.45+7.31+2.21+7.84+5.87+6.22+7.62)/10</f>
        <v>6.6549999999999994</v>
      </c>
      <c r="G11" s="25">
        <v>10</v>
      </c>
      <c r="I11" s="6" t="s">
        <v>32</v>
      </c>
      <c r="J11" s="7">
        <v>5.51</v>
      </c>
    </row>
    <row r="12" spans="1:10" x14ac:dyDescent="0.2">
      <c r="A12" s="4" t="s">
        <v>29</v>
      </c>
      <c r="B12" s="5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35</v>
      </c>
      <c r="J12" s="7">
        <v>5.2</v>
      </c>
    </row>
    <row r="13" spans="1:10" x14ac:dyDescent="0.2">
      <c r="A13" s="4" t="s">
        <v>33</v>
      </c>
      <c r="B13" s="9" t="s">
        <v>14</v>
      </c>
      <c r="C13" s="26">
        <v>0</v>
      </c>
      <c r="E13" s="4" t="s">
        <v>34</v>
      </c>
      <c r="F13" s="9" t="s">
        <v>14</v>
      </c>
      <c r="G13" s="26">
        <v>0</v>
      </c>
      <c r="I13" s="6" t="s">
        <v>38</v>
      </c>
      <c r="J13" s="7">
        <v>4.72</v>
      </c>
    </row>
    <row r="14" spans="1:10" x14ac:dyDescent="0.2">
      <c r="A14" s="4" t="s">
        <v>36</v>
      </c>
      <c r="B14" s="9">
        <v>2.46</v>
      </c>
      <c r="C14" s="26">
        <v>1</v>
      </c>
      <c r="E14" s="4" t="s">
        <v>37</v>
      </c>
      <c r="F14" s="9">
        <f>(6.83+8.01+6.37+10.56+7.1+5.85+6.41+6.31+7.65+0.08+9.02+0.38+5.9+5.84+6.8+7.52+7.11+7.67+6.13+7.02+5.51+7.54+7.19+6.22)/24</f>
        <v>6.4591666666666656</v>
      </c>
      <c r="G14" s="26">
        <v>24</v>
      </c>
      <c r="I14" s="6" t="s">
        <v>41</v>
      </c>
      <c r="J14" s="7">
        <v>5.33</v>
      </c>
    </row>
    <row r="15" spans="1:10" x14ac:dyDescent="0.2">
      <c r="A15" s="4" t="s">
        <v>39</v>
      </c>
      <c r="B15" s="5">
        <v>2.2200000000000002</v>
      </c>
      <c r="C15" s="25">
        <v>1</v>
      </c>
      <c r="E15" s="4" t="s">
        <v>40</v>
      </c>
      <c r="F15" s="5" t="s">
        <v>14</v>
      </c>
      <c r="G15" s="25">
        <v>0</v>
      </c>
      <c r="I15" s="6" t="s">
        <v>44</v>
      </c>
      <c r="J15" s="7">
        <v>6.83</v>
      </c>
    </row>
    <row r="16" spans="1:10" x14ac:dyDescent="0.2">
      <c r="A16" s="4" t="s">
        <v>42</v>
      </c>
      <c r="B16" s="5">
        <f>(4.56+4.53)/2</f>
        <v>4.5449999999999999</v>
      </c>
      <c r="C16" s="25">
        <v>2</v>
      </c>
      <c r="E16" s="4" t="s">
        <v>43</v>
      </c>
      <c r="F16" s="5">
        <v>5.79</v>
      </c>
      <c r="G16" s="25">
        <v>1</v>
      </c>
      <c r="I16" s="6" t="s">
        <v>47</v>
      </c>
      <c r="J16" s="7">
        <v>5.03</v>
      </c>
    </row>
    <row r="17" spans="1:10" x14ac:dyDescent="0.2">
      <c r="A17" s="4" t="s">
        <v>45</v>
      </c>
      <c r="B17" s="9">
        <v>3.16</v>
      </c>
      <c r="C17" s="26">
        <v>1</v>
      </c>
      <c r="E17" s="4" t="s">
        <v>46</v>
      </c>
      <c r="F17" s="9">
        <f>(9.6+8.33+9.45+5.71+8.93+6.84+8.22+7.56+8+12.4+8.7)/11</f>
        <v>8.5218181818181833</v>
      </c>
      <c r="G17" s="26">
        <v>11</v>
      </c>
      <c r="I17" s="6" t="s">
        <v>50</v>
      </c>
      <c r="J17" s="7">
        <v>4.09</v>
      </c>
    </row>
    <row r="18" spans="1:10" x14ac:dyDescent="0.2">
      <c r="A18" s="4" t="s">
        <v>48</v>
      </c>
      <c r="B18" s="9" t="s">
        <v>14</v>
      </c>
      <c r="C18" s="26">
        <v>0</v>
      </c>
      <c r="E18" s="4" t="s">
        <v>49</v>
      </c>
      <c r="F18" s="9">
        <f>(5.26+5.22+5.3+4.93+5.42+2.54+5.49+4.18+5.22+4.92+5.6+0.06+5.21+4.27+4.72+4.57+4.88+3.76+5.3+3.96+3.57+3.81+6.23+4.86)/24</f>
        <v>4.5533333333333328</v>
      </c>
      <c r="G18" s="26">
        <v>24</v>
      </c>
      <c r="I18" s="6" t="s">
        <v>53</v>
      </c>
      <c r="J18" s="7">
        <v>4.87</v>
      </c>
    </row>
    <row r="19" spans="1:10" x14ac:dyDescent="0.2">
      <c r="A19" s="4" t="s">
        <v>51</v>
      </c>
      <c r="B19" s="24" t="s">
        <v>14</v>
      </c>
      <c r="C19" s="29">
        <v>0</v>
      </c>
      <c r="E19" s="4" t="s">
        <v>52</v>
      </c>
      <c r="F19" s="5">
        <f>(4.09+2.65+2.71)/3</f>
        <v>3.15</v>
      </c>
      <c r="G19" s="25">
        <v>3</v>
      </c>
      <c r="I19" s="6" t="s">
        <v>56</v>
      </c>
      <c r="J19" s="7">
        <v>4.3499999999999996</v>
      </c>
    </row>
    <row r="20" spans="1:10" x14ac:dyDescent="0.2">
      <c r="A20" s="4" t="s">
        <v>54</v>
      </c>
      <c r="B20" s="24">
        <f>(7.4+6.75+6.2+6.37+6.01+6.61)/6</f>
        <v>6.5566666666666675</v>
      </c>
      <c r="C20" s="29">
        <v>6</v>
      </c>
      <c r="E20" s="4" t="s">
        <v>55</v>
      </c>
      <c r="F20" s="5">
        <f>(4.39+3.91+3.4+3.52)/4</f>
        <v>3.8050000000000002</v>
      </c>
      <c r="G20" s="25">
        <v>4</v>
      </c>
      <c r="I20" s="6" t="s">
        <v>59</v>
      </c>
      <c r="J20" s="7">
        <v>4.49</v>
      </c>
    </row>
    <row r="21" spans="1:10" ht="15.75" customHeight="1" x14ac:dyDescent="0.2">
      <c r="A21" s="4" t="s">
        <v>57</v>
      </c>
      <c r="B21" s="9" t="s">
        <v>14</v>
      </c>
      <c r="C21" s="26">
        <v>0</v>
      </c>
      <c r="E21" s="4" t="s">
        <v>58</v>
      </c>
      <c r="F21" s="9">
        <f>(8.48+9.04+7.59+7.03+8.65+6.99)/6</f>
        <v>7.9633333333333338</v>
      </c>
      <c r="G21" s="26">
        <v>6</v>
      </c>
      <c r="I21" s="6" t="s">
        <v>62</v>
      </c>
      <c r="J21" s="7">
        <v>5.0599999999999996</v>
      </c>
    </row>
    <row r="22" spans="1:10" ht="15.75" customHeight="1" x14ac:dyDescent="0.2">
      <c r="A22" s="4" t="s">
        <v>60</v>
      </c>
      <c r="B22" s="9" t="s">
        <v>14</v>
      </c>
      <c r="C22" s="26">
        <v>0</v>
      </c>
      <c r="E22" s="4" t="s">
        <v>61</v>
      </c>
      <c r="F22" s="9" t="s">
        <v>14</v>
      </c>
      <c r="G22" s="26">
        <v>0</v>
      </c>
      <c r="I22" s="6" t="s">
        <v>65</v>
      </c>
      <c r="J22" s="7">
        <v>5.08</v>
      </c>
    </row>
    <row r="23" spans="1:10" ht="15.75" customHeight="1" x14ac:dyDescent="0.2">
      <c r="A23" s="4" t="s">
        <v>63</v>
      </c>
      <c r="B23" s="5">
        <v>4.2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4.7300000000000004</v>
      </c>
    </row>
    <row r="24" spans="1:10" ht="15.75" customHeight="1" x14ac:dyDescent="0.2">
      <c r="A24" s="4" t="s">
        <v>66</v>
      </c>
      <c r="B24" s="5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4.66</v>
      </c>
    </row>
    <row r="25" spans="1:10" ht="15.75" customHeight="1" x14ac:dyDescent="0.2">
      <c r="A25" s="4" t="s">
        <v>69</v>
      </c>
      <c r="B25" s="9">
        <f>(8.1+8.84+7.98)/3</f>
        <v>8.3066666666666666</v>
      </c>
      <c r="C25" s="26">
        <v>3</v>
      </c>
      <c r="E25" s="4" t="s">
        <v>70</v>
      </c>
      <c r="F25" s="9">
        <v>3.69</v>
      </c>
      <c r="G25" s="26">
        <v>1</v>
      </c>
      <c r="I25" s="6" t="s">
        <v>74</v>
      </c>
      <c r="J25" s="7">
        <v>6.18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f>(0.81+1.75)/2</f>
        <v>1.28</v>
      </c>
      <c r="G26" s="26">
        <v>2</v>
      </c>
      <c r="I26" s="6" t="s">
        <v>77</v>
      </c>
      <c r="J26" s="7">
        <v>6.08</v>
      </c>
    </row>
    <row r="27" spans="1:10" ht="15.75" customHeight="1" x14ac:dyDescent="0.2">
      <c r="A27" s="4" t="s">
        <v>75</v>
      </c>
      <c r="B27" s="5">
        <v>3.26</v>
      </c>
      <c r="C27" s="25">
        <v>1</v>
      </c>
      <c r="E27" s="4" t="s">
        <v>76</v>
      </c>
      <c r="F27" s="5">
        <f>(4.14+5.58+4.78+5.64+10.04+5.03)/6</f>
        <v>5.8683333333333332</v>
      </c>
      <c r="G27" s="25">
        <v>6</v>
      </c>
      <c r="I27" s="6" t="s">
        <v>80</v>
      </c>
      <c r="J27" s="7">
        <v>4.72</v>
      </c>
    </row>
    <row r="28" spans="1:10" ht="15.75" customHeight="1" x14ac:dyDescent="0.2">
      <c r="A28" s="4" t="s">
        <v>78</v>
      </c>
      <c r="B28" s="5">
        <f>(7.37+6.31+6.24+7.27+7.15+7.09+4.69)/7</f>
        <v>6.588571428571429</v>
      </c>
      <c r="C28" s="25">
        <v>7</v>
      </c>
      <c r="E28" s="4" t="s">
        <v>79</v>
      </c>
      <c r="F28" s="5">
        <f>(3.2+3.55+4.03+0.79+7.64+2.88+2.72+1.95+4.42+2.62+2.68+3.19+2.98+0.18+4.21+2.72)/16</f>
        <v>3.1099999999999994</v>
      </c>
      <c r="G28" s="25">
        <v>16</v>
      </c>
      <c r="I28" s="6" t="s">
        <v>83</v>
      </c>
      <c r="J28" s="7">
        <v>4.3</v>
      </c>
    </row>
    <row r="29" spans="1:10" ht="15.75" customHeight="1" x14ac:dyDescent="0.2">
      <c r="A29" s="4" t="s">
        <v>81</v>
      </c>
      <c r="B29" s="9">
        <f>(4+4.04+4.01+3.31+0.73)/5</f>
        <v>3.218</v>
      </c>
      <c r="C29" s="26">
        <v>5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5.68</v>
      </c>
    </row>
    <row r="30" spans="1:10" ht="15.75" customHeight="1" x14ac:dyDescent="0.2">
      <c r="A30" s="4" t="s">
        <v>84</v>
      </c>
      <c r="B30" s="9">
        <f>(4.11+4.3)/2</f>
        <v>4.2050000000000001</v>
      </c>
      <c r="C30" s="26">
        <v>2</v>
      </c>
      <c r="E30" s="4" t="s">
        <v>85</v>
      </c>
      <c r="F30" s="9">
        <f>(2.83+4.19)/2</f>
        <v>3.5100000000000002</v>
      </c>
      <c r="G30" s="26">
        <v>2</v>
      </c>
      <c r="I30" s="6" t="s">
        <v>89</v>
      </c>
      <c r="J30" s="7">
        <v>4.8499999999999996</v>
      </c>
    </row>
    <row r="31" spans="1:10" ht="15.75" customHeight="1" x14ac:dyDescent="0.2">
      <c r="A31" s="4" t="s">
        <v>87</v>
      </c>
      <c r="B31" s="5">
        <v>6.17</v>
      </c>
      <c r="C31" s="25">
        <v>1</v>
      </c>
      <c r="E31" s="4" t="s">
        <v>88</v>
      </c>
      <c r="F31" s="5">
        <v>2.69</v>
      </c>
      <c r="G31" s="25">
        <v>1</v>
      </c>
      <c r="I31" s="6" t="s">
        <v>91</v>
      </c>
      <c r="J31" s="7">
        <v>4.8600000000000003</v>
      </c>
    </row>
    <row r="32" spans="1:10" ht="15.75" customHeight="1" x14ac:dyDescent="0.2">
      <c r="A32" s="4" t="s">
        <v>65</v>
      </c>
      <c r="B32" s="5" t="s">
        <v>14</v>
      </c>
      <c r="C32" s="25">
        <v>0</v>
      </c>
      <c r="E32" s="4" t="s">
        <v>90</v>
      </c>
      <c r="F32" s="5">
        <f>(3.38+4.67+5.45+5.04+6.04)/5</f>
        <v>4.9159999999999995</v>
      </c>
      <c r="G32" s="25">
        <v>5</v>
      </c>
      <c r="I32" s="6" t="s">
        <v>94</v>
      </c>
      <c r="J32" s="7">
        <v>7.58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(7.02+6.91)/2</f>
        <v>6.9649999999999999</v>
      </c>
      <c r="G33" s="26">
        <v>2</v>
      </c>
      <c r="I33" s="6" t="s">
        <v>97</v>
      </c>
      <c r="J33" s="7">
        <v>4.45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5.85</v>
      </c>
      <c r="G34" s="26">
        <v>1</v>
      </c>
      <c r="I34" s="6" t="s">
        <v>100</v>
      </c>
      <c r="J34" s="7">
        <v>6.03</v>
      </c>
    </row>
    <row r="35" spans="1:10" ht="15.75" customHeight="1" x14ac:dyDescent="0.2">
      <c r="A35" s="4" t="s">
        <v>98</v>
      </c>
      <c r="B35" s="5" t="s">
        <v>14</v>
      </c>
      <c r="C35" s="25">
        <v>0</v>
      </c>
      <c r="E35" s="4" t="s">
        <v>99</v>
      </c>
      <c r="F35" s="5">
        <f>(4.07+4.28)/2</f>
        <v>4.1750000000000007</v>
      </c>
      <c r="G35" s="25">
        <v>2</v>
      </c>
      <c r="I35" s="6" t="s">
        <v>103</v>
      </c>
      <c r="J35" s="7">
        <v>5.09</v>
      </c>
    </row>
    <row r="36" spans="1:10" ht="15.75" customHeight="1" x14ac:dyDescent="0.2">
      <c r="A36" s="4" t="s">
        <v>101</v>
      </c>
      <c r="B36" s="5" t="s">
        <v>14</v>
      </c>
      <c r="C36" s="25">
        <v>0</v>
      </c>
      <c r="E36" s="4" t="s">
        <v>102</v>
      </c>
      <c r="F36" s="5">
        <f>(8.52+5.47+7.56)/3</f>
        <v>7.1833333333333327</v>
      </c>
      <c r="G36" s="25">
        <v>3</v>
      </c>
      <c r="I36" s="6" t="s">
        <v>105</v>
      </c>
      <c r="J36" s="7">
        <v>4.91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5.49</v>
      </c>
    </row>
    <row r="38" spans="1:10" ht="15.75" customHeight="1" x14ac:dyDescent="0.2">
      <c r="I38" s="6" t="s">
        <v>107</v>
      </c>
      <c r="J38" s="7">
        <v>5.14</v>
      </c>
    </row>
    <row r="39" spans="1:10" ht="15.75" customHeight="1" x14ac:dyDescent="0.2">
      <c r="I39" s="6" t="s">
        <v>108</v>
      </c>
      <c r="J39" s="7">
        <v>5.07</v>
      </c>
    </row>
    <row r="40" spans="1:10" ht="15.75" customHeight="1" x14ac:dyDescent="0.2">
      <c r="I40" s="6" t="s">
        <v>109</v>
      </c>
      <c r="J40" s="7">
        <v>4.8499999999999996</v>
      </c>
    </row>
    <row r="41" spans="1:10" ht="15.75" customHeight="1" x14ac:dyDescent="0.2">
      <c r="I41" s="6" t="s">
        <v>110</v>
      </c>
      <c r="J41" s="7">
        <v>4.67</v>
      </c>
    </row>
    <row r="42" spans="1:10" ht="15.75" customHeight="1" x14ac:dyDescent="0.2">
      <c r="I42" s="6" t="s">
        <v>111</v>
      </c>
      <c r="J42" s="7">
        <v>5.1100000000000003</v>
      </c>
    </row>
    <row r="43" spans="1:10" ht="15.75" customHeight="1" x14ac:dyDescent="0.2">
      <c r="I43" s="6" t="s">
        <v>112</v>
      </c>
      <c r="J43" s="7">
        <v>5.56</v>
      </c>
    </row>
    <row r="44" spans="1:10" ht="15.75" customHeight="1" x14ac:dyDescent="0.2">
      <c r="I44" s="6" t="s">
        <v>113</v>
      </c>
      <c r="J44" s="7">
        <v>4.8499999999999996</v>
      </c>
    </row>
    <row r="45" spans="1:10" ht="15.75" customHeight="1" x14ac:dyDescent="0.2">
      <c r="I45" s="6" t="s">
        <v>114</v>
      </c>
      <c r="J45" s="7">
        <v>4.74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6.3320312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115</v>
      </c>
      <c r="B2" s="31"/>
      <c r="C2" s="31"/>
      <c r="D2" s="31"/>
      <c r="E2" s="31"/>
      <c r="F2" s="31"/>
      <c r="G2" s="31"/>
      <c r="H2" s="31"/>
    </row>
    <row r="3" spans="1:10" ht="14.25" customHeight="1" x14ac:dyDescent="0.2">
      <c r="B3" s="3" t="s">
        <v>2</v>
      </c>
      <c r="C3" s="1" t="s">
        <v>3</v>
      </c>
      <c r="F3" s="3" t="s">
        <v>2</v>
      </c>
      <c r="G3" s="1" t="s">
        <v>3</v>
      </c>
    </row>
    <row r="4" spans="1:10" ht="27.75" customHeight="1" x14ac:dyDescent="0.2">
      <c r="A4" s="4" t="s">
        <v>4</v>
      </c>
      <c r="B4" s="15">
        <f>(5.26+0.17)/2</f>
        <v>2.7149999999999999</v>
      </c>
      <c r="C4" s="16">
        <v>2</v>
      </c>
      <c r="E4" s="4" t="s">
        <v>5</v>
      </c>
      <c r="F4" s="17">
        <f>(1.16+1.79)/2</f>
        <v>1.4750000000000001</v>
      </c>
      <c r="G4" s="16">
        <v>2</v>
      </c>
      <c r="I4" s="8" t="s">
        <v>116</v>
      </c>
    </row>
    <row r="5" spans="1:10" x14ac:dyDescent="0.2">
      <c r="A5" s="4" t="s">
        <v>7</v>
      </c>
      <c r="B5" s="18">
        <f>(2.86+2.78+2.9+3.09+3.51+2.62+2.6+2.85+3.03+2.82+2.78+2.14+2.73+3.17+2.77+3.13+2.18+2.63+2.79+2.87+2.56+3.88+3.31+2.7+2.54+2.93+2.88+3.13+2.71+2.57+2.54+3+2.72+3.29)/34</f>
        <v>2.8532352941176478</v>
      </c>
      <c r="C5" s="19">
        <v>34</v>
      </c>
      <c r="E5" s="4" t="s">
        <v>8</v>
      </c>
      <c r="F5" s="18">
        <f>(5.25+4.21+4.76+10.71+2.47+4.16+5.61)/7</f>
        <v>5.3100000000000005</v>
      </c>
      <c r="G5" s="19">
        <v>7</v>
      </c>
      <c r="I5" s="6" t="s">
        <v>9</v>
      </c>
      <c r="J5" s="7">
        <v>5.12</v>
      </c>
    </row>
    <row r="6" spans="1:10" x14ac:dyDescent="0.2">
      <c r="A6" s="4" t="s">
        <v>10</v>
      </c>
      <c r="B6" s="18">
        <f>(2.36+1.84)/2</f>
        <v>2.1</v>
      </c>
      <c r="C6" s="19">
        <v>2</v>
      </c>
      <c r="E6" s="4" t="s">
        <v>11</v>
      </c>
      <c r="F6" s="18">
        <f>(4.34+6.11+4.54+6.3+4.89+5.8+5.14+1.05+4.98+5.48+1.16+5.53+3.49+5.16+5.52+6.06+2.55+4.83+5.32+3.53)/20</f>
        <v>4.5890000000000004</v>
      </c>
      <c r="G6" s="19">
        <v>20</v>
      </c>
      <c r="I6" s="6" t="s">
        <v>12</v>
      </c>
      <c r="J6" s="7">
        <v>5.0599999999999996</v>
      </c>
    </row>
    <row r="7" spans="1:10" x14ac:dyDescent="0.2">
      <c r="A7" s="4" t="s">
        <v>13</v>
      </c>
      <c r="B7" s="15" t="s">
        <v>14</v>
      </c>
      <c r="C7" s="16">
        <v>0</v>
      </c>
      <c r="E7" s="4" t="s">
        <v>15</v>
      </c>
      <c r="F7" s="17">
        <v>8.2799999999999994</v>
      </c>
      <c r="G7" s="16">
        <v>1</v>
      </c>
      <c r="I7" s="6" t="s">
        <v>16</v>
      </c>
      <c r="J7" s="7">
        <v>5.12</v>
      </c>
    </row>
    <row r="8" spans="1:10" x14ac:dyDescent="0.2">
      <c r="A8" s="4" t="s">
        <v>17</v>
      </c>
      <c r="B8" s="15">
        <f>(5.79+6.02+5.7+5.26)/4</f>
        <v>5.692499999999999</v>
      </c>
      <c r="C8" s="16">
        <v>4</v>
      </c>
      <c r="E8" s="4" t="s">
        <v>18</v>
      </c>
      <c r="F8" s="17">
        <f>(5.53+5.07+4.76+4.42+0.51+3.28+5.02+4.61+4.72)/9</f>
        <v>4.2133333333333338</v>
      </c>
      <c r="G8" s="16">
        <v>9</v>
      </c>
      <c r="I8" s="6" t="s">
        <v>19</v>
      </c>
      <c r="J8" s="7">
        <v>5.18</v>
      </c>
    </row>
    <row r="9" spans="1:10" x14ac:dyDescent="0.2">
      <c r="A9" s="4" t="s">
        <v>20</v>
      </c>
      <c r="B9" s="18" t="s">
        <v>14</v>
      </c>
      <c r="C9" s="19">
        <v>0</v>
      </c>
      <c r="E9" s="4" t="s">
        <v>21</v>
      </c>
      <c r="F9" s="18">
        <f>(5.74+2.16+9.05+6.57)/4</f>
        <v>5.8800000000000008</v>
      </c>
      <c r="G9" s="19">
        <v>4</v>
      </c>
      <c r="I9" s="6" t="s">
        <v>22</v>
      </c>
      <c r="J9" s="7">
        <v>5.09</v>
      </c>
    </row>
    <row r="10" spans="1:10" x14ac:dyDescent="0.2">
      <c r="A10" s="4" t="s">
        <v>23</v>
      </c>
      <c r="B10" s="18">
        <v>0.89</v>
      </c>
      <c r="C10" s="19">
        <v>1</v>
      </c>
      <c r="E10" s="4" t="s">
        <v>24</v>
      </c>
      <c r="F10" s="18">
        <f>(3.12+2.36+2.75+3.53+2.86)/5</f>
        <v>2.9239999999999999</v>
      </c>
      <c r="G10" s="19">
        <v>5</v>
      </c>
      <c r="I10" s="6" t="s">
        <v>25</v>
      </c>
      <c r="J10" s="7">
        <v>5.63</v>
      </c>
    </row>
    <row r="11" spans="1:10" x14ac:dyDescent="0.2">
      <c r="A11" s="4" t="s">
        <v>26</v>
      </c>
      <c r="B11" s="15">
        <f>(6.51+5.79)/2</f>
        <v>6.15</v>
      </c>
      <c r="C11" s="16">
        <v>2</v>
      </c>
      <c r="E11" s="4" t="s">
        <v>27</v>
      </c>
      <c r="F11" s="17">
        <f>(6.03+6.32+5.12+6.1+6.36+1.09+6.41+5.83+5.88+6.02)/10</f>
        <v>5.516</v>
      </c>
      <c r="G11" s="16">
        <v>10</v>
      </c>
      <c r="I11" s="6" t="s">
        <v>28</v>
      </c>
      <c r="J11" s="7">
        <v>5.51</v>
      </c>
    </row>
    <row r="12" spans="1:10" x14ac:dyDescent="0.2">
      <c r="A12" s="4" t="s">
        <v>29</v>
      </c>
      <c r="B12" s="15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32</v>
      </c>
      <c r="J12" s="7">
        <v>5.18</v>
      </c>
    </row>
    <row r="13" spans="1:10" x14ac:dyDescent="0.2">
      <c r="A13" s="4" t="s">
        <v>33</v>
      </c>
      <c r="B13" s="18" t="s">
        <v>14</v>
      </c>
      <c r="C13" s="19">
        <v>0</v>
      </c>
      <c r="E13" s="4" t="s">
        <v>34</v>
      </c>
      <c r="F13" s="18">
        <v>2.57</v>
      </c>
      <c r="G13" s="19">
        <v>0</v>
      </c>
      <c r="I13" s="6" t="s">
        <v>35</v>
      </c>
      <c r="J13" s="7">
        <v>4.8499999999999996</v>
      </c>
    </row>
    <row r="14" spans="1:10" x14ac:dyDescent="0.2">
      <c r="A14" s="4" t="s">
        <v>36</v>
      </c>
      <c r="B14" s="18" t="s">
        <v>14</v>
      </c>
      <c r="C14" s="19">
        <v>0</v>
      </c>
      <c r="E14" s="4" t="s">
        <v>37</v>
      </c>
      <c r="F14" s="18">
        <f>(4.36+4.87+5.02+5.57+5.25+6.07+4.61+9.48+10.49+7.94+4.13+5.91+5.95+6.12+5.21+5.87+5.11+5.04+5.3+5.04+6.14+4.87)/22</f>
        <v>5.8340909090909099</v>
      </c>
      <c r="G14" s="19">
        <v>22</v>
      </c>
      <c r="I14" s="6" t="s">
        <v>38</v>
      </c>
      <c r="J14" s="7">
        <v>5.24</v>
      </c>
    </row>
    <row r="15" spans="1:10" x14ac:dyDescent="0.2">
      <c r="A15" s="4" t="s">
        <v>39</v>
      </c>
      <c r="B15" s="15">
        <v>5.87</v>
      </c>
      <c r="C15" s="16">
        <v>1</v>
      </c>
      <c r="E15" s="4" t="s">
        <v>40</v>
      </c>
      <c r="F15" s="17" t="s">
        <v>14</v>
      </c>
      <c r="G15" s="16">
        <v>0</v>
      </c>
      <c r="I15" s="6" t="s">
        <v>41</v>
      </c>
      <c r="J15" s="7">
        <v>5.42</v>
      </c>
    </row>
    <row r="16" spans="1:10" x14ac:dyDescent="0.2">
      <c r="A16" s="4" t="s">
        <v>42</v>
      </c>
      <c r="B16" s="15">
        <f>(3.75+6.66)/2</f>
        <v>5.2050000000000001</v>
      </c>
      <c r="C16" s="16">
        <v>2</v>
      </c>
      <c r="E16" s="4" t="s">
        <v>43</v>
      </c>
      <c r="F16" s="17">
        <v>7.74</v>
      </c>
      <c r="G16" s="16">
        <v>1</v>
      </c>
      <c r="I16" s="6" t="s">
        <v>44</v>
      </c>
      <c r="J16" s="7">
        <v>5.66</v>
      </c>
    </row>
    <row r="17" spans="1:10" x14ac:dyDescent="0.2">
      <c r="A17" s="4" t="s">
        <v>45</v>
      </c>
      <c r="B17" s="18">
        <v>6.29</v>
      </c>
      <c r="C17" s="19">
        <v>1</v>
      </c>
      <c r="E17" s="4" t="s">
        <v>46</v>
      </c>
      <c r="F17" s="18">
        <f>(5.55+6.12+6.26+5.71+7.23+5.45+5.84+4.86+9.9+6.96)/10</f>
        <v>6.3879999999999999</v>
      </c>
      <c r="G17" s="19">
        <v>10</v>
      </c>
      <c r="I17" s="6" t="s">
        <v>47</v>
      </c>
      <c r="J17" s="7">
        <v>4.95</v>
      </c>
    </row>
    <row r="18" spans="1:10" x14ac:dyDescent="0.2">
      <c r="A18" s="4" t="s">
        <v>48</v>
      </c>
      <c r="B18" s="18" t="s">
        <v>14</v>
      </c>
      <c r="C18" s="19">
        <v>0</v>
      </c>
      <c r="E18" s="4" t="s">
        <v>49</v>
      </c>
      <c r="F18" s="18">
        <f>(3.09+3.08+3.11+3.36+3.38+2.75+2.86+3.23+3.1+3.29+3.2+3.04+2.99+5.5+2.84+2.75+2.93+3.44+3.19+3.13)/20</f>
        <v>3.2130000000000001</v>
      </c>
      <c r="G18" s="19">
        <v>20</v>
      </c>
      <c r="I18" s="6" t="s">
        <v>50</v>
      </c>
      <c r="J18" s="7">
        <v>4.7300000000000004</v>
      </c>
    </row>
    <row r="19" spans="1:10" x14ac:dyDescent="0.2">
      <c r="A19" s="4" t="s">
        <v>51</v>
      </c>
      <c r="B19" s="15" t="s">
        <v>14</v>
      </c>
      <c r="C19" s="16">
        <v>0</v>
      </c>
      <c r="E19" s="4" t="s">
        <v>52</v>
      </c>
      <c r="F19" s="17">
        <f>(2.9+2.15+3.01)/3</f>
        <v>2.6866666666666661</v>
      </c>
      <c r="G19" s="16">
        <v>3</v>
      </c>
      <c r="I19" s="6" t="s">
        <v>53</v>
      </c>
      <c r="J19" s="7">
        <v>5.37</v>
      </c>
    </row>
    <row r="20" spans="1:10" x14ac:dyDescent="0.2">
      <c r="A20" s="4" t="s">
        <v>54</v>
      </c>
      <c r="B20" s="15">
        <f>(5.05+4.64+4.82+4.68+5.12+4.73)/6</f>
        <v>4.84</v>
      </c>
      <c r="C20" s="16">
        <v>6</v>
      </c>
      <c r="E20" s="4" t="s">
        <v>55</v>
      </c>
      <c r="F20" s="17">
        <f>(3.17+3.51+3.21+3.32)/4</f>
        <v>3.3025000000000002</v>
      </c>
      <c r="G20" s="16">
        <v>4</v>
      </c>
      <c r="I20" s="6" t="s">
        <v>56</v>
      </c>
      <c r="J20" s="7">
        <v>5.19</v>
      </c>
    </row>
    <row r="21" spans="1:10" ht="15.75" customHeight="1" x14ac:dyDescent="0.2">
      <c r="A21" s="4" t="s">
        <v>57</v>
      </c>
      <c r="B21" s="18" t="s">
        <v>14</v>
      </c>
      <c r="C21" s="19">
        <v>0</v>
      </c>
      <c r="E21" s="4" t="s">
        <v>58</v>
      </c>
      <c r="F21" s="18">
        <f>(5.22+8+5.05+6.27+3.99+5.89)/6</f>
        <v>5.7366666666666672</v>
      </c>
      <c r="G21" s="19">
        <v>6</v>
      </c>
      <c r="I21" s="6" t="s">
        <v>59</v>
      </c>
      <c r="J21" s="7">
        <v>4.3600000000000003</v>
      </c>
    </row>
    <row r="22" spans="1:10" ht="15.75" customHeight="1" x14ac:dyDescent="0.2">
      <c r="A22" s="4" t="s">
        <v>60</v>
      </c>
      <c r="B22" s="18" t="s">
        <v>14</v>
      </c>
      <c r="C22" s="19">
        <v>0</v>
      </c>
      <c r="E22" s="4" t="s">
        <v>61</v>
      </c>
      <c r="F22" s="18" t="s">
        <v>14</v>
      </c>
      <c r="G22" s="19">
        <v>0</v>
      </c>
      <c r="I22" s="6" t="s">
        <v>62</v>
      </c>
      <c r="J22" s="7">
        <v>5.57</v>
      </c>
    </row>
    <row r="23" spans="1:10" ht="15.75" customHeight="1" x14ac:dyDescent="0.2">
      <c r="A23" s="4" t="s">
        <v>63</v>
      </c>
      <c r="B23" s="15">
        <v>2.27</v>
      </c>
      <c r="C23" s="16">
        <v>1</v>
      </c>
      <c r="E23" s="4" t="s">
        <v>64</v>
      </c>
      <c r="F23" s="17" t="s">
        <v>14</v>
      </c>
      <c r="G23" s="16">
        <v>0</v>
      </c>
      <c r="I23" s="6" t="s">
        <v>65</v>
      </c>
      <c r="J23" s="7">
        <v>5.75</v>
      </c>
    </row>
    <row r="24" spans="1:10" ht="15.75" customHeight="1" x14ac:dyDescent="0.2">
      <c r="A24" s="4" t="s">
        <v>66</v>
      </c>
      <c r="B24" s="15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68</v>
      </c>
      <c r="J24" s="7">
        <v>5.32</v>
      </c>
    </row>
    <row r="25" spans="1:10" ht="15.75" customHeight="1" x14ac:dyDescent="0.2">
      <c r="A25" s="4" t="s">
        <v>69</v>
      </c>
      <c r="B25" s="18">
        <f>(7.39+5.47+7.47)/3</f>
        <v>6.7766666666666664</v>
      </c>
      <c r="C25" s="19">
        <v>3</v>
      </c>
      <c r="E25" s="4" t="s">
        <v>70</v>
      </c>
      <c r="F25" s="18">
        <v>2.9</v>
      </c>
      <c r="G25" s="19">
        <v>1</v>
      </c>
      <c r="I25" s="6" t="s">
        <v>71</v>
      </c>
      <c r="J25" s="7">
        <v>5.32</v>
      </c>
    </row>
    <row r="26" spans="1:10" ht="15.75" customHeight="1" x14ac:dyDescent="0.2">
      <c r="A26" s="4" t="s">
        <v>72</v>
      </c>
      <c r="B26" s="18" t="s">
        <v>14</v>
      </c>
      <c r="C26" s="19">
        <v>0</v>
      </c>
      <c r="E26" s="4" t="s">
        <v>73</v>
      </c>
      <c r="F26" s="18">
        <f>(1.05+2)/2</f>
        <v>1.5249999999999999</v>
      </c>
      <c r="G26" s="19">
        <v>2</v>
      </c>
      <c r="I26" s="6" t="s">
        <v>74</v>
      </c>
      <c r="J26" s="7">
        <v>5.36</v>
      </c>
    </row>
    <row r="27" spans="1:10" ht="15.75" customHeight="1" x14ac:dyDescent="0.2">
      <c r="A27" s="4" t="s">
        <v>75</v>
      </c>
      <c r="B27" s="15">
        <v>5.31</v>
      </c>
      <c r="C27" s="16">
        <v>1</v>
      </c>
      <c r="E27" s="4" t="s">
        <v>76</v>
      </c>
      <c r="F27" s="17">
        <f>(5.27+1.47+5.11+5.56+4.85+4.35)/6</f>
        <v>4.4349999999999996</v>
      </c>
      <c r="G27" s="16">
        <v>6</v>
      </c>
      <c r="I27" s="6" t="s">
        <v>77</v>
      </c>
      <c r="J27" s="7">
        <v>5.77</v>
      </c>
    </row>
    <row r="28" spans="1:10" ht="15.75" customHeight="1" x14ac:dyDescent="0.2">
      <c r="A28" s="4" t="s">
        <v>78</v>
      </c>
      <c r="B28" s="15">
        <f>(5.58+5.5+4.99+6.5+5.65+6.11+5.52)/7</f>
        <v>5.6928571428571422</v>
      </c>
      <c r="C28" s="16">
        <v>7</v>
      </c>
      <c r="E28" s="4" t="s">
        <v>79</v>
      </c>
      <c r="F28" s="17">
        <f>(5.27+6.31+6.04+1.48+5.63+8.03+5.19+6.79+7.54+5.64+6.35+5.14+5.55+7.28+5.38)/15</f>
        <v>5.841333333333333</v>
      </c>
      <c r="G28" s="16">
        <v>15</v>
      </c>
      <c r="I28" s="6" t="s">
        <v>80</v>
      </c>
      <c r="J28" s="7">
        <v>5.62</v>
      </c>
    </row>
    <row r="29" spans="1:10" ht="15.75" customHeight="1" x14ac:dyDescent="0.2">
      <c r="A29" s="4" t="s">
        <v>81</v>
      </c>
      <c r="B29" s="18">
        <f>(3.7+4.11+3.17+2.84+0.2)/5</f>
        <v>2.8039999999999998</v>
      </c>
      <c r="C29" s="19">
        <v>5</v>
      </c>
      <c r="E29" s="4" t="s">
        <v>82</v>
      </c>
      <c r="F29" s="18" t="s">
        <v>14</v>
      </c>
      <c r="G29" s="19">
        <v>0</v>
      </c>
      <c r="I29" s="6" t="s">
        <v>83</v>
      </c>
      <c r="J29" s="7">
        <v>4.5199999999999996</v>
      </c>
    </row>
    <row r="30" spans="1:10" ht="15.75" customHeight="1" x14ac:dyDescent="0.2">
      <c r="A30" s="4" t="s">
        <v>84</v>
      </c>
      <c r="B30" s="18">
        <f>(2.3+2.51)/2</f>
        <v>2.4049999999999998</v>
      </c>
      <c r="C30" s="19">
        <v>2</v>
      </c>
      <c r="E30" s="4" t="s">
        <v>85</v>
      </c>
      <c r="F30" s="18">
        <f>(7.25+6.86)/2</f>
        <v>7.0549999999999997</v>
      </c>
      <c r="G30" s="19">
        <v>2</v>
      </c>
      <c r="I30" s="6" t="s">
        <v>86</v>
      </c>
      <c r="J30" s="7">
        <v>5.18</v>
      </c>
    </row>
    <row r="31" spans="1:10" ht="15.75" customHeight="1" x14ac:dyDescent="0.2">
      <c r="A31" s="4" t="s">
        <v>87</v>
      </c>
      <c r="B31" s="15">
        <f>(6.21+6.84)/2</f>
        <v>6.5250000000000004</v>
      </c>
      <c r="C31" s="16">
        <v>2</v>
      </c>
      <c r="E31" s="4" t="s">
        <v>88</v>
      </c>
      <c r="F31" s="17">
        <v>3.96</v>
      </c>
      <c r="G31" s="16">
        <v>1</v>
      </c>
      <c r="I31" s="6" t="s">
        <v>89</v>
      </c>
      <c r="J31" s="7">
        <v>5.55</v>
      </c>
    </row>
    <row r="32" spans="1:10" ht="15.75" customHeight="1" x14ac:dyDescent="0.2">
      <c r="A32" s="4" t="s">
        <v>65</v>
      </c>
      <c r="B32" s="15" t="s">
        <v>14</v>
      </c>
      <c r="C32" s="16">
        <v>0</v>
      </c>
      <c r="E32" s="4" t="s">
        <v>90</v>
      </c>
      <c r="F32" s="17">
        <f>(6.06+5.54+6.52+3.96+7.09+5.44)/6</f>
        <v>5.7683333333333335</v>
      </c>
      <c r="G32" s="16">
        <v>6</v>
      </c>
      <c r="I32" s="6" t="s">
        <v>91</v>
      </c>
      <c r="J32" s="7">
        <v>5.07</v>
      </c>
    </row>
    <row r="33" spans="1:10" ht="15.75" customHeight="1" x14ac:dyDescent="0.2">
      <c r="A33" s="4" t="s">
        <v>92</v>
      </c>
      <c r="B33" s="18" t="s">
        <v>14</v>
      </c>
      <c r="C33" s="19">
        <v>0</v>
      </c>
      <c r="E33" s="4" t="s">
        <v>93</v>
      </c>
      <c r="F33" s="18">
        <f>(6.34+5.19)/2</f>
        <v>5.7650000000000006</v>
      </c>
      <c r="G33" s="19">
        <v>2</v>
      </c>
      <c r="I33" s="6" t="s">
        <v>94</v>
      </c>
      <c r="J33" s="7">
        <v>5.2</v>
      </c>
    </row>
    <row r="34" spans="1:10" ht="15.75" customHeight="1" x14ac:dyDescent="0.2">
      <c r="A34" s="4" t="s">
        <v>95</v>
      </c>
      <c r="B34" s="18" t="s">
        <v>14</v>
      </c>
      <c r="C34" s="19">
        <v>0</v>
      </c>
      <c r="E34" s="4" t="s">
        <v>96</v>
      </c>
      <c r="F34" s="18">
        <v>3.86</v>
      </c>
      <c r="G34" s="19">
        <v>1</v>
      </c>
      <c r="I34" s="6" t="s">
        <v>97</v>
      </c>
      <c r="J34" s="7">
        <v>5.14</v>
      </c>
    </row>
    <row r="35" spans="1:10" ht="15.75" customHeight="1" x14ac:dyDescent="0.2">
      <c r="A35" s="4" t="s">
        <v>98</v>
      </c>
      <c r="B35" s="15" t="s">
        <v>14</v>
      </c>
      <c r="C35" s="16">
        <v>0</v>
      </c>
      <c r="E35" s="4" t="s">
        <v>99</v>
      </c>
      <c r="F35" s="17">
        <f>(6.78+5.3)/2</f>
        <v>6.04</v>
      </c>
      <c r="G35" s="16">
        <v>2</v>
      </c>
      <c r="I35" s="6" t="s">
        <v>100</v>
      </c>
      <c r="J35" s="7">
        <v>4.71</v>
      </c>
    </row>
    <row r="36" spans="1:10" ht="15.75" customHeight="1" x14ac:dyDescent="0.2">
      <c r="A36" s="4" t="s">
        <v>101</v>
      </c>
      <c r="B36" s="15" t="s">
        <v>14</v>
      </c>
      <c r="C36" s="16">
        <v>0</v>
      </c>
      <c r="E36" s="4" t="s">
        <v>102</v>
      </c>
      <c r="F36" s="17">
        <f>(8.74+5.64+7.99)/3</f>
        <v>7.4566666666666661</v>
      </c>
      <c r="G36" s="16">
        <v>3</v>
      </c>
      <c r="I36" s="6" t="s">
        <v>103</v>
      </c>
      <c r="J36" s="7">
        <v>5.23</v>
      </c>
    </row>
    <row r="37" spans="1:10" ht="15.75" customHeight="1" x14ac:dyDescent="0.2">
      <c r="A37" s="4" t="s">
        <v>104</v>
      </c>
      <c r="B37" s="18" t="s">
        <v>14</v>
      </c>
      <c r="C37" s="19">
        <v>0</v>
      </c>
      <c r="I37" s="6" t="s">
        <v>105</v>
      </c>
      <c r="J37" s="7">
        <v>4.97</v>
      </c>
    </row>
    <row r="38" spans="1:10" ht="15.75" customHeight="1" x14ac:dyDescent="0.2">
      <c r="B38" s="20"/>
      <c r="I38" s="6" t="s">
        <v>106</v>
      </c>
      <c r="J38" s="7">
        <v>5.34</v>
      </c>
    </row>
    <row r="39" spans="1:10" ht="15.75" customHeight="1" x14ac:dyDescent="0.2">
      <c r="B39" s="20"/>
      <c r="I39" s="6" t="s">
        <v>107</v>
      </c>
      <c r="J39" s="7">
        <v>5.24</v>
      </c>
    </row>
    <row r="40" spans="1:10" ht="15.75" customHeight="1" x14ac:dyDescent="0.2">
      <c r="I40" s="6" t="s">
        <v>108</v>
      </c>
      <c r="J40" s="7">
        <v>5.64</v>
      </c>
    </row>
    <row r="41" spans="1:10" ht="15.75" customHeight="1" x14ac:dyDescent="0.2">
      <c r="I41" s="6" t="s">
        <v>109</v>
      </c>
      <c r="J41" s="7">
        <v>5.15</v>
      </c>
    </row>
    <row r="42" spans="1:10" ht="15.75" customHeight="1" x14ac:dyDescent="0.2">
      <c r="I42" s="6" t="s">
        <v>110</v>
      </c>
      <c r="J42" s="7">
        <v>5.19</v>
      </c>
    </row>
    <row r="43" spans="1:10" ht="15.75" customHeight="1" x14ac:dyDescent="0.2">
      <c r="I43" s="6" t="s">
        <v>111</v>
      </c>
      <c r="J43" s="7">
        <v>4.88</v>
      </c>
    </row>
    <row r="44" spans="1:10" ht="15.75" customHeight="1" x14ac:dyDescent="0.2">
      <c r="I44" s="6" t="s">
        <v>112</v>
      </c>
      <c r="J44" s="7">
        <v>5.4</v>
      </c>
    </row>
    <row r="45" spans="1:10" ht="15.75" customHeight="1" x14ac:dyDescent="0.2">
      <c r="I45" s="6" t="s">
        <v>113</v>
      </c>
      <c r="J45" s="7">
        <v>5.16</v>
      </c>
    </row>
    <row r="46" spans="1:10" ht="15.75" customHeight="1" x14ac:dyDescent="0.2">
      <c r="I46" s="6" t="s">
        <v>114</v>
      </c>
      <c r="J46" s="7">
        <v>5.3</v>
      </c>
    </row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117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118</v>
      </c>
    </row>
    <row r="4" spans="1:10" x14ac:dyDescent="0.2">
      <c r="A4" s="4" t="s">
        <v>4</v>
      </c>
      <c r="B4" s="17">
        <v>7.41</v>
      </c>
      <c r="C4" s="16">
        <v>1</v>
      </c>
      <c r="E4" s="4" t="s">
        <v>5</v>
      </c>
      <c r="F4" s="17">
        <f>(6.08+6.4)/2</f>
        <v>6.24</v>
      </c>
      <c r="G4" s="16">
        <v>2</v>
      </c>
      <c r="I4" s="6" t="s">
        <v>9</v>
      </c>
      <c r="J4" s="7">
        <v>6.21</v>
      </c>
    </row>
    <row r="5" spans="1:10" x14ac:dyDescent="0.2">
      <c r="A5" s="4" t="s">
        <v>7</v>
      </c>
      <c r="B5" s="21">
        <f>(4.75+4.26+4.06+5.97+6.36+4.11+5.89+4.34+4.71+4.33+4.61+2.98+4.42+3.6+4.46+4.86+3.82+4.33+3.39+2.7+5.02+2.69+3.86+3.13+3.46+5.29+4.1+4.97+3.8+3.14+3.7+3.62+1.08+4.72+4.09)/35</f>
        <v>4.1319999999999997</v>
      </c>
      <c r="C5" s="22">
        <v>35</v>
      </c>
      <c r="E5" s="4" t="s">
        <v>8</v>
      </c>
      <c r="F5" s="21">
        <f>(6.29+5.91+6.67+6.13+4.88+5.06)/6</f>
        <v>5.8233333333333333</v>
      </c>
      <c r="G5" s="22">
        <v>6</v>
      </c>
      <c r="I5" s="6" t="s">
        <v>12</v>
      </c>
      <c r="J5" s="7">
        <v>6.76</v>
      </c>
    </row>
    <row r="6" spans="1:10" x14ac:dyDescent="0.2">
      <c r="A6" s="4" t="s">
        <v>10</v>
      </c>
      <c r="B6" s="21">
        <f>(0.78+3.86)/2</f>
        <v>2.3199999999999998</v>
      </c>
      <c r="C6" s="22">
        <v>2</v>
      </c>
      <c r="E6" s="4" t="s">
        <v>11</v>
      </c>
      <c r="F6" s="21">
        <f>(6.43+4.59+4.55+6.53+4.65+5.13+2.99+4.42+6.57+4.52+4.18+1.33+6.28+6.77+6.99+1.23+6.77+5.56+4.48)/19</f>
        <v>4.9457894736842105</v>
      </c>
      <c r="G6" s="22">
        <v>19</v>
      </c>
      <c r="I6" s="6" t="s">
        <v>16</v>
      </c>
      <c r="J6" s="7">
        <v>7.09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6.36</v>
      </c>
      <c r="G7" s="16">
        <v>1</v>
      </c>
      <c r="I7" s="6" t="s">
        <v>19</v>
      </c>
      <c r="J7" s="7">
        <v>6.03</v>
      </c>
    </row>
    <row r="8" spans="1:10" x14ac:dyDescent="0.2">
      <c r="A8" s="4" t="s">
        <v>17</v>
      </c>
      <c r="B8" s="17">
        <f>(7.79+7.5+7.91+7.15)/4</f>
        <v>7.5875000000000004</v>
      </c>
      <c r="C8" s="16">
        <v>4</v>
      </c>
      <c r="E8" s="4" t="s">
        <v>18</v>
      </c>
      <c r="F8" s="17">
        <f>(10.68+8.44+6.8+8.44+5.25+2.68+7.64+7.56+7.04)/9</f>
        <v>7.17</v>
      </c>
      <c r="G8" s="16">
        <v>9</v>
      </c>
      <c r="I8" s="6" t="s">
        <v>22</v>
      </c>
      <c r="J8" s="7">
        <v>6.63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(6.72+3.47+6.64+7.68)/4</f>
        <v>6.1274999999999995</v>
      </c>
      <c r="G9" s="22">
        <v>4</v>
      </c>
      <c r="I9" s="6" t="s">
        <v>25</v>
      </c>
      <c r="J9" s="7">
        <v>7.16</v>
      </c>
    </row>
    <row r="10" spans="1:10" x14ac:dyDescent="0.2">
      <c r="A10" s="4" t="s">
        <v>23</v>
      </c>
      <c r="B10" s="21">
        <v>3.79</v>
      </c>
      <c r="C10" s="22">
        <v>1</v>
      </c>
      <c r="E10" s="4" t="s">
        <v>24</v>
      </c>
      <c r="F10" s="21">
        <f t="shared" ref="F10:F11" si="0">(1.57+6.99+6.62+5.67+6.51)/5</f>
        <v>5.4719999999999995</v>
      </c>
      <c r="G10" s="22">
        <v>5</v>
      </c>
      <c r="I10" s="6" t="s">
        <v>28</v>
      </c>
      <c r="J10" s="7">
        <v>5.92</v>
      </c>
    </row>
    <row r="11" spans="1:10" x14ac:dyDescent="0.2">
      <c r="A11" s="4" t="s">
        <v>26</v>
      </c>
      <c r="B11" s="17">
        <f>(8.03+6.27)/2</f>
        <v>7.1499999999999995</v>
      </c>
      <c r="C11" s="16">
        <v>2</v>
      </c>
      <c r="E11" s="4" t="s">
        <v>27</v>
      </c>
      <c r="F11" s="17">
        <f t="shared" si="0"/>
        <v>5.4719999999999995</v>
      </c>
      <c r="G11" s="16">
        <v>5</v>
      </c>
      <c r="I11" s="6" t="s">
        <v>32</v>
      </c>
      <c r="J11" s="7">
        <v>6.54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35</v>
      </c>
      <c r="J12" s="7">
        <v>6.38</v>
      </c>
    </row>
    <row r="13" spans="1:10" x14ac:dyDescent="0.2">
      <c r="A13" s="4" t="s">
        <v>33</v>
      </c>
      <c r="B13" s="21" t="s">
        <v>14</v>
      </c>
      <c r="C13" s="22">
        <v>0</v>
      </c>
      <c r="E13" s="4" t="s">
        <v>34</v>
      </c>
      <c r="F13" s="21">
        <v>0.16</v>
      </c>
      <c r="G13" s="22">
        <v>1</v>
      </c>
      <c r="I13" s="6" t="s">
        <v>38</v>
      </c>
      <c r="J13" s="7">
        <v>6.04</v>
      </c>
    </row>
    <row r="14" spans="1:10" x14ac:dyDescent="0.2">
      <c r="A14" s="4" t="s">
        <v>36</v>
      </c>
      <c r="B14" s="21">
        <v>6.62</v>
      </c>
      <c r="C14" s="22">
        <v>1</v>
      </c>
      <c r="E14" s="4" t="s">
        <v>37</v>
      </c>
      <c r="F14" s="21">
        <f>(5.59+6.46+8.35+6.52+6.3+6.35+7.2+13.75+8.48+9.47+8.48+7.42+8.04+8.37+7.11+7.93+8.72+6.18+7.45+5.87+8.31+7.04)/22</f>
        <v>7.6995454545454542</v>
      </c>
      <c r="G14" s="22">
        <v>22</v>
      </c>
      <c r="I14" s="6" t="s">
        <v>41</v>
      </c>
      <c r="J14" s="7">
        <v>7.39</v>
      </c>
    </row>
    <row r="15" spans="1:10" x14ac:dyDescent="0.2">
      <c r="A15" s="4" t="s">
        <v>39</v>
      </c>
      <c r="B15" s="17">
        <v>7.29</v>
      </c>
      <c r="C15" s="16">
        <v>1</v>
      </c>
      <c r="E15" s="4" t="s">
        <v>40</v>
      </c>
      <c r="F15" s="17" t="s">
        <v>14</v>
      </c>
      <c r="G15" s="16">
        <v>0</v>
      </c>
      <c r="I15" s="6" t="s">
        <v>44</v>
      </c>
      <c r="J15" s="7">
        <v>6.37</v>
      </c>
    </row>
    <row r="16" spans="1:10" x14ac:dyDescent="0.2">
      <c r="A16" s="4" t="s">
        <v>42</v>
      </c>
      <c r="B16" s="17">
        <f>(4.09+6.66)/2</f>
        <v>5.375</v>
      </c>
      <c r="C16" s="16">
        <v>2</v>
      </c>
      <c r="E16" s="4" t="s">
        <v>43</v>
      </c>
      <c r="F16" s="17">
        <v>8.35</v>
      </c>
      <c r="G16" s="16">
        <v>1</v>
      </c>
      <c r="I16" s="6" t="s">
        <v>47</v>
      </c>
      <c r="J16" s="7">
        <v>6.28</v>
      </c>
    </row>
    <row r="17" spans="1:10" x14ac:dyDescent="0.2">
      <c r="A17" s="4" t="s">
        <v>45</v>
      </c>
      <c r="B17" s="21">
        <v>10.15</v>
      </c>
      <c r="C17" s="22">
        <v>1</v>
      </c>
      <c r="E17" s="4" t="s">
        <v>46</v>
      </c>
      <c r="F17" s="21">
        <f>(7.21+7.17+7.81+2.83+7.45+5.7+6.59+6.45+6.53+8.5+6.76)/11</f>
        <v>6.6363636363636376</v>
      </c>
      <c r="G17" s="22">
        <v>11</v>
      </c>
      <c r="I17" s="6" t="s">
        <v>50</v>
      </c>
      <c r="J17" s="7">
        <v>6.18</v>
      </c>
    </row>
    <row r="18" spans="1:10" x14ac:dyDescent="0.2">
      <c r="A18" s="4" t="s">
        <v>48</v>
      </c>
      <c r="B18" s="21" t="s">
        <v>14</v>
      </c>
      <c r="C18" s="22">
        <v>0</v>
      </c>
      <c r="E18" s="4" t="s">
        <v>49</v>
      </c>
      <c r="F18" s="21">
        <f>(2.97+5.03+5.03+4.36+4.67+3.91+2.9+4.24+3.9+3.57+4.59+4.23+7.51+3.32+3.86+1.72+3.46+0.8+5.71+2.22+2.58+3.13+1.07)/23</f>
        <v>3.6860869565217378</v>
      </c>
      <c r="G18" s="22">
        <v>23</v>
      </c>
      <c r="I18" s="6" t="s">
        <v>53</v>
      </c>
      <c r="J18" s="7">
        <v>6.47</v>
      </c>
    </row>
    <row r="19" spans="1:10" x14ac:dyDescent="0.2">
      <c r="A19" s="4" t="s">
        <v>51</v>
      </c>
      <c r="B19" s="21" t="s">
        <v>14</v>
      </c>
      <c r="C19" s="22">
        <v>0</v>
      </c>
      <c r="E19" s="4" t="s">
        <v>52</v>
      </c>
      <c r="F19" s="17">
        <f>(4.99+4.06+5.37+0)/4</f>
        <v>3.6050000000000004</v>
      </c>
      <c r="G19" s="16">
        <v>4</v>
      </c>
      <c r="I19" s="6" t="s">
        <v>56</v>
      </c>
      <c r="J19" s="7">
        <v>6.65</v>
      </c>
    </row>
    <row r="20" spans="1:10" x14ac:dyDescent="0.2">
      <c r="A20" s="4" t="s">
        <v>54</v>
      </c>
      <c r="B20" s="17">
        <f>(10.29+8.04+7.98+9.65+7.9+6.21)/6</f>
        <v>8.3450000000000006</v>
      </c>
      <c r="C20" s="16">
        <v>6</v>
      </c>
      <c r="E20" s="4" t="s">
        <v>55</v>
      </c>
      <c r="F20" s="17">
        <f>(2.11+4.54+3.15+3.7)/4</f>
        <v>3.375</v>
      </c>
      <c r="G20" s="16">
        <v>4</v>
      </c>
      <c r="I20" s="6" t="s">
        <v>59</v>
      </c>
      <c r="J20" s="7">
        <v>6.19</v>
      </c>
    </row>
    <row r="21" spans="1:10" ht="15.75" customHeight="1" x14ac:dyDescent="0.2">
      <c r="A21" s="4" t="s">
        <v>57</v>
      </c>
      <c r="B21" s="21" t="s">
        <v>14</v>
      </c>
      <c r="C21" s="22">
        <v>0</v>
      </c>
      <c r="E21" s="4" t="s">
        <v>58</v>
      </c>
      <c r="F21" s="21">
        <f>(7+6.95+5.57+6.79+5.87+6.61+1.57)/7</f>
        <v>5.765714285714286</v>
      </c>
      <c r="G21" s="22">
        <v>7</v>
      </c>
      <c r="I21" s="6" t="s">
        <v>62</v>
      </c>
      <c r="J21" s="7">
        <v>6.52</v>
      </c>
    </row>
    <row r="22" spans="1:10" ht="15.75" customHeight="1" x14ac:dyDescent="0.2">
      <c r="A22" s="4" t="s">
        <v>60</v>
      </c>
      <c r="B22" s="21" t="s">
        <v>14</v>
      </c>
      <c r="C22" s="22">
        <v>0</v>
      </c>
      <c r="E22" s="4" t="s">
        <v>61</v>
      </c>
      <c r="F22" s="21" t="s">
        <v>14</v>
      </c>
      <c r="G22" s="22">
        <v>0</v>
      </c>
      <c r="I22" s="6" t="s">
        <v>65</v>
      </c>
      <c r="J22" s="7">
        <v>7</v>
      </c>
    </row>
    <row r="23" spans="1:10" ht="15.75" customHeight="1" x14ac:dyDescent="0.2">
      <c r="A23" s="4" t="s">
        <v>63</v>
      </c>
      <c r="B23" s="17">
        <v>5.57</v>
      </c>
      <c r="C23" s="16">
        <v>1</v>
      </c>
      <c r="E23" s="4" t="s">
        <v>64</v>
      </c>
      <c r="F23" s="17">
        <v>0.67</v>
      </c>
      <c r="G23" s="16">
        <v>1</v>
      </c>
      <c r="I23" s="6" t="s">
        <v>68</v>
      </c>
      <c r="J23" s="7">
        <v>6.91</v>
      </c>
    </row>
    <row r="24" spans="1:10" ht="15.75" customHeight="1" x14ac:dyDescent="0.2">
      <c r="A24" s="4" t="s">
        <v>66</v>
      </c>
      <c r="B24" s="17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71</v>
      </c>
      <c r="J24" s="7">
        <v>6.28</v>
      </c>
    </row>
    <row r="25" spans="1:10" ht="15.75" customHeight="1" x14ac:dyDescent="0.2">
      <c r="A25" s="4" t="s">
        <v>69</v>
      </c>
      <c r="B25" s="21">
        <f>(8.24+6.35+6.01)/3</f>
        <v>6.8666666666666671</v>
      </c>
      <c r="C25" s="22">
        <v>3</v>
      </c>
      <c r="E25" s="4" t="s">
        <v>70</v>
      </c>
      <c r="F25" s="21">
        <v>11.61</v>
      </c>
      <c r="G25" s="22">
        <v>1</v>
      </c>
      <c r="I25" s="6" t="s">
        <v>74</v>
      </c>
      <c r="J25" s="7">
        <v>6.5</v>
      </c>
    </row>
    <row r="26" spans="1:10" ht="15.75" customHeight="1" x14ac:dyDescent="0.2">
      <c r="A26" s="4" t="s">
        <v>72</v>
      </c>
      <c r="B26" s="21" t="s">
        <v>14</v>
      </c>
      <c r="C26" s="22">
        <v>0</v>
      </c>
      <c r="E26" s="4" t="s">
        <v>73</v>
      </c>
      <c r="F26" s="21">
        <f>(0+4.82)/2</f>
        <v>2.41</v>
      </c>
      <c r="G26" s="22">
        <v>2</v>
      </c>
      <c r="I26" s="6" t="s">
        <v>77</v>
      </c>
      <c r="J26" s="7">
        <v>6.33</v>
      </c>
    </row>
    <row r="27" spans="1:10" ht="15.75" customHeight="1" x14ac:dyDescent="0.2">
      <c r="A27" s="4" t="s">
        <v>75</v>
      </c>
      <c r="B27" s="17">
        <f>(5.76)/1</f>
        <v>5.76</v>
      </c>
      <c r="C27" s="16">
        <v>1</v>
      </c>
      <c r="E27" s="4" t="s">
        <v>76</v>
      </c>
      <c r="F27" s="17">
        <f>(5.71+4.83+6.13+7.66+6.48+6.33)/6</f>
        <v>6.19</v>
      </c>
      <c r="G27" s="16">
        <v>6</v>
      </c>
      <c r="I27" s="6" t="s">
        <v>80</v>
      </c>
      <c r="J27" s="7">
        <v>6.88</v>
      </c>
    </row>
    <row r="28" spans="1:10" ht="15.75" customHeight="1" x14ac:dyDescent="0.2">
      <c r="A28" s="4" t="s">
        <v>78</v>
      </c>
      <c r="B28" s="17">
        <f>(6.75+5.99+5.89+7.15+4.06+6.4+6.57)/7</f>
        <v>6.1157142857142857</v>
      </c>
      <c r="C28" s="16">
        <v>7</v>
      </c>
      <c r="E28" s="4" t="s">
        <v>79</v>
      </c>
      <c r="F28" s="17">
        <f>(5.41+5.28+6.43+2.53+5.36+7.01+3.09+6.88+7.39+5.69+7.09+5.23+5.79+6.7+4.34+0)/16</f>
        <v>5.2637500000000008</v>
      </c>
      <c r="G28" s="16">
        <v>16</v>
      </c>
      <c r="I28" s="6" t="s">
        <v>83</v>
      </c>
      <c r="J28" s="7">
        <v>6.3</v>
      </c>
    </row>
    <row r="29" spans="1:10" ht="15.75" customHeight="1" x14ac:dyDescent="0.2">
      <c r="A29" s="4" t="s">
        <v>81</v>
      </c>
      <c r="B29" s="21">
        <f>(6.27+7.23+5.29+7.07+4.99)/5</f>
        <v>6.17</v>
      </c>
      <c r="C29" s="22">
        <v>5</v>
      </c>
      <c r="E29" s="4" t="s">
        <v>82</v>
      </c>
      <c r="F29" s="21" t="s">
        <v>14</v>
      </c>
      <c r="G29" s="22">
        <v>0</v>
      </c>
      <c r="I29" s="6" t="s">
        <v>86</v>
      </c>
      <c r="J29" s="7">
        <v>6.8</v>
      </c>
    </row>
    <row r="30" spans="1:10" ht="15.75" customHeight="1" x14ac:dyDescent="0.2">
      <c r="A30" s="4" t="s">
        <v>84</v>
      </c>
      <c r="B30" s="21">
        <f t="shared" ref="B30:B31" si="1">(4.89+5.92)/2</f>
        <v>5.4049999999999994</v>
      </c>
      <c r="C30" s="22">
        <v>2</v>
      </c>
      <c r="E30" s="4" t="s">
        <v>85</v>
      </c>
      <c r="F30" s="21">
        <f>(7.59+8.61)/2</f>
        <v>8.1</v>
      </c>
      <c r="G30" s="22">
        <v>2</v>
      </c>
      <c r="I30" s="6" t="s">
        <v>89</v>
      </c>
      <c r="J30" s="7">
        <v>6.71</v>
      </c>
    </row>
    <row r="31" spans="1:10" ht="15.75" customHeight="1" x14ac:dyDescent="0.2">
      <c r="A31" s="4" t="s">
        <v>87</v>
      </c>
      <c r="B31" s="17">
        <f t="shared" si="1"/>
        <v>5.4049999999999994</v>
      </c>
      <c r="C31" s="16">
        <v>2</v>
      </c>
      <c r="E31" s="4" t="s">
        <v>88</v>
      </c>
      <c r="F31" s="17">
        <f>(11.4+8.03)/2</f>
        <v>9.7149999999999999</v>
      </c>
      <c r="G31" s="16">
        <v>2</v>
      </c>
      <c r="I31" s="6" t="s">
        <v>91</v>
      </c>
      <c r="J31" s="7">
        <v>6.2</v>
      </c>
    </row>
    <row r="32" spans="1:10" ht="15.75" customHeight="1" x14ac:dyDescent="0.2">
      <c r="A32" s="4" t="s">
        <v>65</v>
      </c>
      <c r="B32" s="17" t="s">
        <v>14</v>
      </c>
      <c r="C32" s="16">
        <v>0</v>
      </c>
      <c r="E32" s="4" t="s">
        <v>90</v>
      </c>
      <c r="F32" s="17">
        <f>(5.16+4.6+4.35+5.04+4.74+5.09+1.91)/7</f>
        <v>4.4128571428571428</v>
      </c>
      <c r="G32" s="16">
        <v>7</v>
      </c>
      <c r="I32" s="6" t="s">
        <v>94</v>
      </c>
      <c r="J32" s="7">
        <v>7.22</v>
      </c>
    </row>
    <row r="33" spans="1:10" ht="15.75" customHeight="1" x14ac:dyDescent="0.2">
      <c r="A33" s="4" t="s">
        <v>92</v>
      </c>
      <c r="B33" s="21">
        <v>1.28</v>
      </c>
      <c r="C33" s="22">
        <v>1</v>
      </c>
      <c r="E33" s="4" t="s">
        <v>93</v>
      </c>
      <c r="F33" s="21">
        <f>(6.42+5.85)/2</f>
        <v>6.1349999999999998</v>
      </c>
      <c r="G33" s="22">
        <v>2</v>
      </c>
      <c r="I33" s="6" t="s">
        <v>97</v>
      </c>
      <c r="J33" s="7">
        <v>6.08</v>
      </c>
    </row>
    <row r="34" spans="1:10" ht="15.75" customHeight="1" x14ac:dyDescent="0.2">
      <c r="A34" s="4" t="s">
        <v>95</v>
      </c>
      <c r="B34" s="18" t="s">
        <v>14</v>
      </c>
      <c r="C34" s="19">
        <v>0</v>
      </c>
      <c r="E34" s="4" t="s">
        <v>96</v>
      </c>
      <c r="F34" s="21">
        <v>5.71</v>
      </c>
      <c r="G34" s="22">
        <v>1</v>
      </c>
      <c r="I34" s="6" t="s">
        <v>100</v>
      </c>
      <c r="J34" s="7">
        <v>6.42</v>
      </c>
    </row>
    <row r="35" spans="1:10" ht="15.75" customHeight="1" x14ac:dyDescent="0.2">
      <c r="A35" s="4" t="s">
        <v>98</v>
      </c>
      <c r="B35" s="17" t="s">
        <v>14</v>
      </c>
      <c r="C35" s="16">
        <v>0</v>
      </c>
      <c r="E35" s="4" t="s">
        <v>99</v>
      </c>
      <c r="F35" s="17">
        <f>(6.05+7.5)/2</f>
        <v>6.7750000000000004</v>
      </c>
      <c r="G35" s="16">
        <v>2</v>
      </c>
      <c r="I35" s="6" t="s">
        <v>103</v>
      </c>
      <c r="J35" s="7">
        <v>6.28</v>
      </c>
    </row>
    <row r="36" spans="1:10" ht="15.75" customHeight="1" x14ac:dyDescent="0.2">
      <c r="A36" s="4" t="s">
        <v>101</v>
      </c>
      <c r="B36" s="17" t="s">
        <v>14</v>
      </c>
      <c r="C36" s="16">
        <v>0</v>
      </c>
      <c r="E36" s="4" t="s">
        <v>102</v>
      </c>
      <c r="F36" s="17">
        <f>(8.69+6.5+6.1)/3</f>
        <v>7.0966666666666667</v>
      </c>
      <c r="G36" s="16">
        <v>3</v>
      </c>
      <c r="I36" s="6" t="s">
        <v>105</v>
      </c>
      <c r="J36" s="7">
        <v>6.51</v>
      </c>
    </row>
    <row r="37" spans="1:10" ht="15.75" customHeight="1" x14ac:dyDescent="0.2">
      <c r="A37" s="4" t="s">
        <v>104</v>
      </c>
      <c r="B37" s="21" t="s">
        <v>14</v>
      </c>
      <c r="C37" s="22">
        <v>0</v>
      </c>
      <c r="I37" s="6" t="s">
        <v>106</v>
      </c>
      <c r="J37" s="7">
        <v>6.73</v>
      </c>
    </row>
    <row r="38" spans="1:10" ht="15.75" customHeight="1" x14ac:dyDescent="0.2">
      <c r="I38" s="6" t="s">
        <v>107</v>
      </c>
      <c r="J38" s="7">
        <v>6.43</v>
      </c>
    </row>
    <row r="39" spans="1:10" ht="15.75" customHeight="1" x14ac:dyDescent="0.2">
      <c r="I39" s="6" t="s">
        <v>108</v>
      </c>
      <c r="J39" s="7">
        <v>6.93</v>
      </c>
    </row>
    <row r="40" spans="1:10" ht="15.75" customHeight="1" x14ac:dyDescent="0.2">
      <c r="I40" s="6" t="s">
        <v>109</v>
      </c>
      <c r="J40" s="7">
        <v>6.22</v>
      </c>
    </row>
    <row r="41" spans="1:10" ht="15.75" customHeight="1" x14ac:dyDescent="0.2">
      <c r="I41" s="6" t="s">
        <v>110</v>
      </c>
      <c r="J41" s="7">
        <v>6.21</v>
      </c>
    </row>
    <row r="42" spans="1:10" ht="15.75" customHeight="1" x14ac:dyDescent="0.2">
      <c r="I42" s="6" t="s">
        <v>111</v>
      </c>
      <c r="J42" s="7">
        <v>6.21</v>
      </c>
    </row>
    <row r="43" spans="1:10" ht="15.75" customHeight="1" x14ac:dyDescent="0.2">
      <c r="I43" s="6" t="s">
        <v>112</v>
      </c>
      <c r="J43" s="7">
        <v>6.78</v>
      </c>
    </row>
    <row r="44" spans="1:10" ht="15.75" customHeight="1" x14ac:dyDescent="0.2">
      <c r="I44" s="6" t="s">
        <v>113</v>
      </c>
      <c r="J44" s="7">
        <v>6.26</v>
      </c>
    </row>
    <row r="45" spans="1:10" ht="15.75" customHeight="1" x14ac:dyDescent="0.2">
      <c r="I45" s="6" t="s">
        <v>114</v>
      </c>
      <c r="J45" s="7">
        <v>6.06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119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118</v>
      </c>
    </row>
    <row r="4" spans="1:10" x14ac:dyDescent="0.2">
      <c r="A4" s="4" t="s">
        <v>4</v>
      </c>
      <c r="B4" s="17">
        <v>4.3099999999999996</v>
      </c>
      <c r="C4" s="16">
        <v>1</v>
      </c>
      <c r="E4" s="4" t="s">
        <v>5</v>
      </c>
      <c r="F4" s="17">
        <f>(5.09+5.4)/2</f>
        <v>5.2450000000000001</v>
      </c>
      <c r="G4" s="16">
        <v>2</v>
      </c>
      <c r="I4" s="6" t="s">
        <v>9</v>
      </c>
      <c r="J4" s="7">
        <v>4.08</v>
      </c>
    </row>
    <row r="5" spans="1:10" x14ac:dyDescent="0.2">
      <c r="A5" s="23" t="s">
        <v>7</v>
      </c>
      <c r="B5" s="21">
        <f>(6.56+6.07+12.18+5.49+5.71+7.1+4.73+7.32+5.51+7.11+5.79+6.22+8.13+5.96+5.29+6.27+5.68+6.27+7.45+7.95+5.96+9.61+5.75+6.44+6.87+5+8.7+5.58+6.85+8.95+7.38+5.29+6.61+6.83+5.21)/35</f>
        <v>6.6805714285714295</v>
      </c>
      <c r="C5" s="22">
        <v>35</v>
      </c>
      <c r="E5" s="4" t="s">
        <v>8</v>
      </c>
      <c r="F5" s="21">
        <f>(4.23+4.34+4.3+6.01+5.39+2.01)/6</f>
        <v>4.38</v>
      </c>
      <c r="G5" s="22">
        <v>6</v>
      </c>
      <c r="I5" s="6" t="s">
        <v>12</v>
      </c>
      <c r="J5" s="7">
        <v>4.8899999999999997</v>
      </c>
    </row>
    <row r="6" spans="1:10" x14ac:dyDescent="0.2">
      <c r="A6" s="4" t="s">
        <v>10</v>
      </c>
      <c r="B6" s="21">
        <v>4.9000000000000004</v>
      </c>
      <c r="C6" s="22">
        <v>2</v>
      </c>
      <c r="E6" s="4" t="s">
        <v>11</v>
      </c>
      <c r="F6" s="21">
        <f>(6.38+6.04+7.31+6.79+4.21+6.21+6.73+4.8+7.24+6.96+2.35+1.38+5.52+6.83+7.53+0.11+6.97+3.74+5.11)/19</f>
        <v>5.3794736842105255</v>
      </c>
      <c r="G6" s="22">
        <v>19</v>
      </c>
      <c r="I6" s="6" t="s">
        <v>16</v>
      </c>
      <c r="J6" s="7">
        <v>4.5599999999999996</v>
      </c>
    </row>
    <row r="7" spans="1:10" x14ac:dyDescent="0.2">
      <c r="A7" s="4" t="s">
        <v>13</v>
      </c>
      <c r="B7" s="17" t="s">
        <v>14</v>
      </c>
      <c r="C7" s="16">
        <v>0</v>
      </c>
      <c r="E7" s="4" t="s">
        <v>15</v>
      </c>
      <c r="F7" s="17">
        <v>4.78</v>
      </c>
      <c r="G7" s="16">
        <v>1</v>
      </c>
      <c r="I7" s="6" t="s">
        <v>19</v>
      </c>
      <c r="J7" s="7">
        <v>5.26</v>
      </c>
    </row>
    <row r="8" spans="1:10" x14ac:dyDescent="0.2">
      <c r="A8" s="4" t="s">
        <v>17</v>
      </c>
      <c r="B8" s="17">
        <f>(5.8+5.49+4.57+6.68)/4</f>
        <v>5.6349999999999998</v>
      </c>
      <c r="C8" s="16">
        <v>4</v>
      </c>
      <c r="E8" s="4" t="s">
        <v>18</v>
      </c>
      <c r="F8" s="17">
        <f>(7.31+4.09+3.95+4.09+4.05+3.64+4.06+4.29)/8</f>
        <v>4.4349999999999996</v>
      </c>
      <c r="G8" s="16">
        <v>8</v>
      </c>
      <c r="I8" s="6" t="s">
        <v>22</v>
      </c>
      <c r="J8" s="7">
        <v>4.88</v>
      </c>
    </row>
    <row r="9" spans="1:10" x14ac:dyDescent="0.2">
      <c r="A9" s="4" t="s">
        <v>20</v>
      </c>
      <c r="B9" s="21" t="s">
        <v>14</v>
      </c>
      <c r="C9" s="22">
        <v>0</v>
      </c>
      <c r="E9" s="4" t="s">
        <v>21</v>
      </c>
      <c r="F9" s="21">
        <f>(4.94+4.3+3.79+5.74)/4</f>
        <v>4.6925000000000008</v>
      </c>
      <c r="G9" s="22">
        <v>4</v>
      </c>
      <c r="I9" s="6" t="s">
        <v>25</v>
      </c>
      <c r="J9" s="7">
        <v>4.6399999999999997</v>
      </c>
    </row>
    <row r="10" spans="1:10" x14ac:dyDescent="0.2">
      <c r="A10" s="4" t="s">
        <v>23</v>
      </c>
      <c r="B10" s="21">
        <v>4.05</v>
      </c>
      <c r="C10" s="22">
        <v>1</v>
      </c>
      <c r="E10" s="4" t="s">
        <v>24</v>
      </c>
      <c r="F10" s="21">
        <f>(1.17+4.07+3.37+3.74+4.19)/5</f>
        <v>3.3079999999999998</v>
      </c>
      <c r="G10" s="22">
        <v>5</v>
      </c>
      <c r="I10" s="6" t="s">
        <v>28</v>
      </c>
      <c r="J10" s="7">
        <v>4.53</v>
      </c>
    </row>
    <row r="11" spans="1:10" x14ac:dyDescent="0.2">
      <c r="A11" s="4" t="s">
        <v>26</v>
      </c>
      <c r="B11" s="17">
        <f>(6.1+5.22)/2</f>
        <v>5.66</v>
      </c>
      <c r="C11" s="16">
        <v>2</v>
      </c>
      <c r="E11" s="4" t="s">
        <v>27</v>
      </c>
      <c r="F11" s="17">
        <f>(3.62+3.24+3.53+3.87+4.23+0+4.23+3.94+3.51+3.17)/10</f>
        <v>3.3340000000000005</v>
      </c>
      <c r="G11" s="16">
        <v>10</v>
      </c>
      <c r="I11" s="6" t="s">
        <v>32</v>
      </c>
      <c r="J11" s="7">
        <v>5.3</v>
      </c>
    </row>
    <row r="12" spans="1:10" x14ac:dyDescent="0.2">
      <c r="A12" s="4" t="s">
        <v>29</v>
      </c>
      <c r="B12" s="17" t="s">
        <v>14</v>
      </c>
      <c r="C12" s="16">
        <v>0</v>
      </c>
      <c r="E12" s="4" t="s">
        <v>30</v>
      </c>
      <c r="F12" s="17" t="s">
        <v>14</v>
      </c>
      <c r="G12" s="16">
        <v>0</v>
      </c>
      <c r="I12" s="6" t="s">
        <v>35</v>
      </c>
      <c r="J12" s="7">
        <v>4.8</v>
      </c>
    </row>
    <row r="13" spans="1:10" x14ac:dyDescent="0.2">
      <c r="A13" s="4" t="s">
        <v>33</v>
      </c>
      <c r="B13" s="21" t="s">
        <v>14</v>
      </c>
      <c r="C13" s="22">
        <v>0</v>
      </c>
      <c r="E13" s="4" t="s">
        <v>34</v>
      </c>
      <c r="F13" s="21" t="s">
        <v>14</v>
      </c>
      <c r="G13" s="22">
        <v>0</v>
      </c>
      <c r="I13" s="6" t="s">
        <v>38</v>
      </c>
      <c r="J13" s="7">
        <v>5</v>
      </c>
    </row>
    <row r="14" spans="1:10" x14ac:dyDescent="0.2">
      <c r="A14" s="4" t="s">
        <v>36</v>
      </c>
      <c r="B14" s="21">
        <v>3.92</v>
      </c>
      <c r="C14" s="22">
        <v>1</v>
      </c>
      <c r="E14" s="4" t="s">
        <v>37</v>
      </c>
      <c r="F14" s="21">
        <f>(3.82+3.93+3.32+5.07+3.48+2.07+4.56+3.99+3.79+3.61+3.99+3.84+3.74+4.23+4.18+3.78+3.56+0.34+2.9+4.78+3.43+3.45)/22</f>
        <v>3.6300000000000008</v>
      </c>
      <c r="G14" s="22">
        <v>22</v>
      </c>
      <c r="I14" s="6" t="s">
        <v>41</v>
      </c>
      <c r="J14" s="7">
        <v>5.0199999999999996</v>
      </c>
    </row>
    <row r="15" spans="1:10" x14ac:dyDescent="0.2">
      <c r="A15" s="4" t="s">
        <v>39</v>
      </c>
      <c r="B15" s="17">
        <v>6.16</v>
      </c>
      <c r="C15" s="16">
        <v>1</v>
      </c>
      <c r="E15" s="4" t="s">
        <v>40</v>
      </c>
      <c r="F15" s="17" t="s">
        <v>14</v>
      </c>
      <c r="G15" s="16">
        <v>0</v>
      </c>
      <c r="I15" s="6" t="s">
        <v>44</v>
      </c>
      <c r="J15" s="7">
        <v>5.01</v>
      </c>
    </row>
    <row r="16" spans="1:10" x14ac:dyDescent="0.2">
      <c r="A16" s="4" t="s">
        <v>42</v>
      </c>
      <c r="B16" s="17">
        <f>(6.7+5.65)/2</f>
        <v>6.1750000000000007</v>
      </c>
      <c r="C16" s="16">
        <v>2</v>
      </c>
      <c r="E16" s="4" t="s">
        <v>43</v>
      </c>
      <c r="F16" s="17">
        <v>5.34</v>
      </c>
      <c r="G16" s="16">
        <v>1</v>
      </c>
      <c r="I16" s="6" t="s">
        <v>47</v>
      </c>
      <c r="J16" s="7">
        <v>4.29</v>
      </c>
    </row>
    <row r="17" spans="1:10" x14ac:dyDescent="0.2">
      <c r="A17" s="4" t="s">
        <v>45</v>
      </c>
      <c r="B17" s="21">
        <v>4.88</v>
      </c>
      <c r="C17" s="22">
        <v>1</v>
      </c>
      <c r="E17" s="4" t="s">
        <v>46</v>
      </c>
      <c r="F17" s="21">
        <f>(6.1+6.45+8.05+5.93+4.72+6.51+4.61+7.95+6.9+4.86)/10</f>
        <v>6.2080000000000002</v>
      </c>
      <c r="G17" s="22">
        <v>10</v>
      </c>
      <c r="I17" s="6" t="s">
        <v>50</v>
      </c>
      <c r="J17" s="7">
        <v>4.25</v>
      </c>
    </row>
    <row r="18" spans="1:10" x14ac:dyDescent="0.2">
      <c r="A18" s="4" t="s">
        <v>48</v>
      </c>
      <c r="B18" s="21" t="s">
        <v>14</v>
      </c>
      <c r="C18" s="22">
        <v>0</v>
      </c>
      <c r="E18" s="4" t="s">
        <v>49</v>
      </c>
      <c r="F18" s="21">
        <f>(7.66+8.38+8.65+9.99+9.34+7.91+1.37+8.29+7.9+8.76+5.24+7.09+6.85+7.92+6.42+7.09+7.42+6.64+9.32+4.7+10.47+7.84+6.3+4.1+6.95+8.04)/26</f>
        <v>7.3323076923076904</v>
      </c>
      <c r="G18" s="22">
        <v>26</v>
      </c>
      <c r="I18" s="6" t="s">
        <v>53</v>
      </c>
      <c r="J18" s="7">
        <v>4.3099999999999996</v>
      </c>
    </row>
    <row r="19" spans="1:10" x14ac:dyDescent="0.2">
      <c r="A19" s="4" t="s">
        <v>51</v>
      </c>
      <c r="B19" s="17" t="s">
        <v>14</v>
      </c>
      <c r="C19" s="16">
        <v>0</v>
      </c>
      <c r="E19" s="4" t="s">
        <v>52</v>
      </c>
      <c r="F19" s="17">
        <f>(4.2+4+5.03+5.99)/4</f>
        <v>4.8049999999999997</v>
      </c>
      <c r="G19" s="16">
        <v>4</v>
      </c>
      <c r="I19" s="6" t="s">
        <v>56</v>
      </c>
      <c r="J19" s="7">
        <v>4.5199999999999996</v>
      </c>
    </row>
    <row r="20" spans="1:10" x14ac:dyDescent="0.2">
      <c r="A20" s="4" t="s">
        <v>54</v>
      </c>
      <c r="B20" s="17">
        <f>(5.77+4.43+4.56+5.04+5.46+4.16)/6</f>
        <v>4.9033333333333333</v>
      </c>
      <c r="C20" s="16">
        <v>6</v>
      </c>
      <c r="E20" s="4" t="s">
        <v>55</v>
      </c>
      <c r="F20" s="17">
        <f>(6.85+5.15+5.94+6.49)/4</f>
        <v>6.1074999999999999</v>
      </c>
      <c r="G20" s="16">
        <v>4</v>
      </c>
      <c r="I20" s="6" t="s">
        <v>59</v>
      </c>
      <c r="J20" s="7">
        <v>3.56</v>
      </c>
    </row>
    <row r="21" spans="1:10" ht="15.75" customHeight="1" x14ac:dyDescent="0.2">
      <c r="A21" s="4" t="s">
        <v>57</v>
      </c>
      <c r="B21" s="21" t="s">
        <v>14</v>
      </c>
      <c r="C21" s="22">
        <v>0</v>
      </c>
      <c r="E21" s="4" t="s">
        <v>58</v>
      </c>
      <c r="F21" s="21">
        <f>(5.58+6.49+4.47+5.12+5.12+4.68+0.59+1.79)/8</f>
        <v>4.2300000000000004</v>
      </c>
      <c r="G21" s="22">
        <v>8</v>
      </c>
      <c r="I21" s="6" t="s">
        <v>62</v>
      </c>
      <c r="J21" s="7">
        <v>4.51</v>
      </c>
    </row>
    <row r="22" spans="1:10" ht="15.75" customHeight="1" x14ac:dyDescent="0.2">
      <c r="A22" s="4" t="s">
        <v>60</v>
      </c>
      <c r="B22" s="21" t="s">
        <v>14</v>
      </c>
      <c r="C22" s="22">
        <v>0</v>
      </c>
      <c r="E22" s="4" t="s">
        <v>61</v>
      </c>
      <c r="F22" s="21" t="s">
        <v>14</v>
      </c>
      <c r="G22" s="22">
        <v>0</v>
      </c>
      <c r="I22" s="6" t="s">
        <v>65</v>
      </c>
      <c r="J22" s="7">
        <v>5.57</v>
      </c>
    </row>
    <row r="23" spans="1:10" ht="15.75" customHeight="1" x14ac:dyDescent="0.2">
      <c r="A23" s="4" t="s">
        <v>63</v>
      </c>
      <c r="B23" s="17">
        <v>7.23</v>
      </c>
      <c r="C23" s="16">
        <v>1</v>
      </c>
      <c r="E23" s="4" t="s">
        <v>64</v>
      </c>
      <c r="F23" s="17">
        <v>1.07</v>
      </c>
      <c r="G23" s="16">
        <v>1</v>
      </c>
      <c r="I23" s="6" t="s">
        <v>68</v>
      </c>
      <c r="J23" s="7">
        <v>3.92</v>
      </c>
    </row>
    <row r="24" spans="1:10" ht="15.75" customHeight="1" x14ac:dyDescent="0.2">
      <c r="A24" s="4" t="s">
        <v>66</v>
      </c>
      <c r="B24" s="17" t="s">
        <v>14</v>
      </c>
      <c r="C24" s="16">
        <v>0</v>
      </c>
      <c r="E24" s="4" t="s">
        <v>67</v>
      </c>
      <c r="F24" s="17" t="s">
        <v>14</v>
      </c>
      <c r="G24" s="16">
        <v>0</v>
      </c>
      <c r="I24" s="6" t="s">
        <v>71</v>
      </c>
      <c r="J24" s="7">
        <v>4.71</v>
      </c>
    </row>
    <row r="25" spans="1:10" ht="15.75" customHeight="1" x14ac:dyDescent="0.2">
      <c r="A25" s="4" t="s">
        <v>69</v>
      </c>
      <c r="B25" s="21">
        <f>(5.45+7.2+4.58)/3</f>
        <v>5.7433333333333332</v>
      </c>
      <c r="C25" s="22">
        <v>3</v>
      </c>
      <c r="E25" s="4" t="s">
        <v>70</v>
      </c>
      <c r="F25" s="21">
        <v>6.42</v>
      </c>
      <c r="G25" s="22">
        <v>1</v>
      </c>
      <c r="I25" s="6" t="s">
        <v>74</v>
      </c>
      <c r="J25" s="7">
        <v>5.48</v>
      </c>
    </row>
    <row r="26" spans="1:10" ht="15.75" customHeight="1" x14ac:dyDescent="0.2">
      <c r="A26" s="4" t="s">
        <v>72</v>
      </c>
      <c r="B26" s="21" t="s">
        <v>14</v>
      </c>
      <c r="C26" s="22">
        <v>0</v>
      </c>
      <c r="E26" s="4" t="s">
        <v>73</v>
      </c>
      <c r="F26" s="21">
        <v>4.63</v>
      </c>
      <c r="G26" s="22">
        <v>1</v>
      </c>
      <c r="I26" s="6" t="s">
        <v>77</v>
      </c>
      <c r="J26" s="7">
        <v>5.89</v>
      </c>
    </row>
    <row r="27" spans="1:10" ht="15.75" customHeight="1" x14ac:dyDescent="0.2">
      <c r="A27" s="4" t="s">
        <v>75</v>
      </c>
      <c r="B27" s="17">
        <v>5.68</v>
      </c>
      <c r="C27" s="16">
        <v>1</v>
      </c>
      <c r="E27" s="4" t="s">
        <v>76</v>
      </c>
      <c r="F27" s="17">
        <f>(4.14+4.52+4.65+5.85+5.75+4.99)/6</f>
        <v>4.9833333333333334</v>
      </c>
      <c r="G27" s="16">
        <v>6</v>
      </c>
      <c r="I27" s="6" t="s">
        <v>80</v>
      </c>
      <c r="J27" s="7">
        <v>5.26</v>
      </c>
    </row>
    <row r="28" spans="1:10" ht="15.75" customHeight="1" x14ac:dyDescent="0.2">
      <c r="A28" s="4" t="s">
        <v>78</v>
      </c>
      <c r="B28" s="17">
        <f>(7.01+7.67+5.46+7.21+7.13+8.05+6.91)/7</f>
        <v>7.0628571428571423</v>
      </c>
      <c r="C28" s="16">
        <v>7</v>
      </c>
      <c r="E28" s="4" t="s">
        <v>79</v>
      </c>
      <c r="F28" s="17">
        <f>(3.92+4.83+4.36+1.98+4.62+3.19+5.72+4.14+4.44+2.9+5.41+4.15+4.4+3.85)/14</f>
        <v>4.1364285714285707</v>
      </c>
      <c r="G28" s="16">
        <v>14</v>
      </c>
      <c r="I28" s="6" t="s">
        <v>83</v>
      </c>
      <c r="J28" s="7">
        <v>3.92</v>
      </c>
    </row>
    <row r="29" spans="1:10" ht="15.75" customHeight="1" x14ac:dyDescent="0.2">
      <c r="A29" s="4" t="s">
        <v>81</v>
      </c>
      <c r="B29" s="21">
        <f>(5+5.17+4.92+4.75)/4</f>
        <v>4.96</v>
      </c>
      <c r="C29" s="22">
        <v>4</v>
      </c>
      <c r="E29" s="4" t="s">
        <v>82</v>
      </c>
      <c r="F29" s="21" t="s">
        <v>14</v>
      </c>
      <c r="G29" s="22">
        <v>0</v>
      </c>
      <c r="I29" s="6" t="s">
        <v>86</v>
      </c>
      <c r="J29" s="7">
        <v>5.59</v>
      </c>
    </row>
    <row r="30" spans="1:10" ht="15.75" customHeight="1" x14ac:dyDescent="0.2">
      <c r="A30" s="4" t="s">
        <v>84</v>
      </c>
      <c r="B30" s="21">
        <f>(3.17+3.08)/2</f>
        <v>3.125</v>
      </c>
      <c r="C30" s="22">
        <v>2</v>
      </c>
      <c r="E30" s="4" t="s">
        <v>85</v>
      </c>
      <c r="F30" s="21">
        <f>(4.96+4.11)/2</f>
        <v>4.5350000000000001</v>
      </c>
      <c r="G30" s="22">
        <v>2</v>
      </c>
      <c r="I30" s="6" t="s">
        <v>89</v>
      </c>
      <c r="J30" s="7">
        <v>5.15</v>
      </c>
    </row>
    <row r="31" spans="1:10" ht="15.75" customHeight="1" x14ac:dyDescent="0.2">
      <c r="A31" s="4" t="s">
        <v>87</v>
      </c>
      <c r="B31" s="17">
        <v>5.56</v>
      </c>
      <c r="C31" s="16">
        <v>1</v>
      </c>
      <c r="E31" s="4" t="s">
        <v>88</v>
      </c>
      <c r="F31" s="17">
        <f>(5.78+3.24)/2</f>
        <v>4.51</v>
      </c>
      <c r="G31" s="16">
        <v>2</v>
      </c>
      <c r="I31" s="6" t="s">
        <v>91</v>
      </c>
      <c r="J31" s="7">
        <v>5.0999999999999996</v>
      </c>
    </row>
    <row r="32" spans="1:10" ht="15.75" customHeight="1" x14ac:dyDescent="0.2">
      <c r="A32" s="4" t="s">
        <v>65</v>
      </c>
      <c r="B32" s="17">
        <v>2.12</v>
      </c>
      <c r="C32" s="16">
        <v>1</v>
      </c>
      <c r="E32" s="4" t="s">
        <v>90</v>
      </c>
      <c r="F32" s="17">
        <f>(3.98+4.41+6.26+6.09+6.93+5.23+5.01)/7</f>
        <v>5.4157142857142864</v>
      </c>
      <c r="G32" s="16">
        <v>7</v>
      </c>
      <c r="I32" s="6" t="s">
        <v>94</v>
      </c>
      <c r="J32" s="7">
        <v>5.38</v>
      </c>
    </row>
    <row r="33" spans="1:10" ht="15.75" customHeight="1" x14ac:dyDescent="0.2">
      <c r="A33" s="4" t="s">
        <v>92</v>
      </c>
      <c r="B33" s="21" t="s">
        <v>14</v>
      </c>
      <c r="C33" s="22">
        <v>0</v>
      </c>
      <c r="E33" s="4" t="s">
        <v>93</v>
      </c>
      <c r="F33" s="21">
        <f>(6.54+6.53)/2</f>
        <v>6.5350000000000001</v>
      </c>
      <c r="G33" s="22">
        <v>2</v>
      </c>
      <c r="I33" s="6" t="s">
        <v>97</v>
      </c>
      <c r="J33" s="7">
        <v>4.59</v>
      </c>
    </row>
    <row r="34" spans="1:10" ht="15.75" customHeight="1" x14ac:dyDescent="0.2">
      <c r="A34" s="4" t="s">
        <v>95</v>
      </c>
      <c r="B34" s="18" t="s">
        <v>14</v>
      </c>
      <c r="C34" s="19">
        <v>0</v>
      </c>
      <c r="E34" s="4" t="s">
        <v>96</v>
      </c>
      <c r="F34" s="21">
        <v>5.58</v>
      </c>
      <c r="G34" s="22">
        <v>1</v>
      </c>
      <c r="I34" s="6" t="s">
        <v>100</v>
      </c>
      <c r="J34" s="7">
        <v>5.16</v>
      </c>
    </row>
    <row r="35" spans="1:10" ht="15.75" customHeight="1" x14ac:dyDescent="0.2">
      <c r="A35" s="4" t="s">
        <v>98</v>
      </c>
      <c r="B35" s="17" t="s">
        <v>14</v>
      </c>
      <c r="C35" s="16">
        <v>0</v>
      </c>
      <c r="E35" s="4" t="s">
        <v>99</v>
      </c>
      <c r="F35" s="17">
        <f>(4.95+4.01)/2</f>
        <v>4.4800000000000004</v>
      </c>
      <c r="G35" s="16">
        <v>2</v>
      </c>
      <c r="I35" s="6" t="s">
        <v>103</v>
      </c>
      <c r="J35" s="7">
        <v>5.01</v>
      </c>
    </row>
    <row r="36" spans="1:10" ht="15.75" customHeight="1" x14ac:dyDescent="0.2">
      <c r="A36" s="4" t="s">
        <v>101</v>
      </c>
      <c r="B36" s="17" t="s">
        <v>14</v>
      </c>
      <c r="C36" s="16">
        <v>0</v>
      </c>
      <c r="E36" s="4" t="s">
        <v>102</v>
      </c>
      <c r="F36" s="17">
        <f>(3.09+6.07+6.48)/3</f>
        <v>5.2133333333333338</v>
      </c>
      <c r="G36" s="16">
        <v>3</v>
      </c>
      <c r="I36" s="6" t="s">
        <v>105</v>
      </c>
      <c r="J36" s="7">
        <v>5.0599999999999996</v>
      </c>
    </row>
    <row r="37" spans="1:10" ht="15.75" customHeight="1" x14ac:dyDescent="0.2">
      <c r="A37" s="4" t="s">
        <v>104</v>
      </c>
      <c r="B37" s="21" t="s">
        <v>14</v>
      </c>
      <c r="C37" s="22">
        <v>0</v>
      </c>
      <c r="I37" s="6" t="s">
        <v>106</v>
      </c>
      <c r="J37" s="7">
        <v>5.18</v>
      </c>
    </row>
    <row r="38" spans="1:10" ht="15.75" customHeight="1" x14ac:dyDescent="0.2">
      <c r="I38" s="6" t="s">
        <v>107</v>
      </c>
      <c r="J38" s="7">
        <v>4.9000000000000004</v>
      </c>
    </row>
    <row r="39" spans="1:10" ht="15.75" customHeight="1" x14ac:dyDescent="0.2">
      <c r="I39" s="6" t="s">
        <v>108</v>
      </c>
      <c r="J39" s="7">
        <v>5.23</v>
      </c>
    </row>
    <row r="40" spans="1:10" ht="15.75" customHeight="1" x14ac:dyDescent="0.2">
      <c r="I40" s="6" t="s">
        <v>109</v>
      </c>
      <c r="J40" s="7">
        <v>4.74</v>
      </c>
    </row>
    <row r="41" spans="1:10" ht="15.75" customHeight="1" x14ac:dyDescent="0.2">
      <c r="I41" s="6" t="s">
        <v>110</v>
      </c>
      <c r="J41" s="7">
        <v>4.45</v>
      </c>
    </row>
    <row r="42" spans="1:10" ht="15.75" customHeight="1" x14ac:dyDescent="0.2">
      <c r="I42" s="6" t="s">
        <v>111</v>
      </c>
      <c r="J42" s="7">
        <v>4.6399999999999997</v>
      </c>
    </row>
    <row r="43" spans="1:10" ht="15.75" customHeight="1" x14ac:dyDescent="0.2">
      <c r="I43" s="6" t="s">
        <v>112</v>
      </c>
      <c r="J43" s="7">
        <v>5.52</v>
      </c>
    </row>
    <row r="44" spans="1:10" ht="15.75" customHeight="1" x14ac:dyDescent="0.2">
      <c r="I44" s="6" t="s">
        <v>113</v>
      </c>
      <c r="J44" s="7">
        <v>5.12</v>
      </c>
    </row>
    <row r="45" spans="1:10" ht="15.75" customHeight="1" x14ac:dyDescent="0.2">
      <c r="I45" s="6" t="s">
        <v>114</v>
      </c>
      <c r="J45" s="7">
        <v>4.68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3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120</v>
      </c>
      <c r="B2" s="31"/>
      <c r="C2" s="31"/>
      <c r="D2" s="31"/>
      <c r="E2" s="31"/>
      <c r="F2" s="31"/>
      <c r="G2" s="31"/>
      <c r="H2" s="31"/>
    </row>
    <row r="3" spans="1:10" ht="60" customHeight="1" x14ac:dyDescent="0.2">
      <c r="B3" s="3" t="s">
        <v>2</v>
      </c>
      <c r="C3" s="1" t="s">
        <v>3</v>
      </c>
      <c r="F3" s="3" t="s">
        <v>2</v>
      </c>
      <c r="G3" s="1" t="s">
        <v>3</v>
      </c>
      <c r="I3" s="34" t="s">
        <v>121</v>
      </c>
      <c r="J3" s="35"/>
    </row>
    <row r="4" spans="1:10" x14ac:dyDescent="0.2">
      <c r="A4" s="4" t="s">
        <v>4</v>
      </c>
      <c r="B4" s="7">
        <v>3.97</v>
      </c>
      <c r="C4" s="6">
        <v>1</v>
      </c>
      <c r="E4" s="4" t="s">
        <v>5</v>
      </c>
      <c r="F4" s="7">
        <f>(4.04+5.03)/2</f>
        <v>4.5350000000000001</v>
      </c>
      <c r="G4" s="6">
        <v>2</v>
      </c>
      <c r="I4" s="6" t="s">
        <v>9</v>
      </c>
      <c r="J4" s="7">
        <v>3.82</v>
      </c>
    </row>
    <row r="5" spans="1:10" x14ac:dyDescent="0.2">
      <c r="A5" s="4" t="s">
        <v>7</v>
      </c>
      <c r="B5" s="11">
        <f>(3.96+4.75+6.21+4.37+3.09+2.42+4.67+3.23+5.15+4.09+5.03+5.57+3.82+4.01+2.14+3.37+4.28+1.36+3.07+0.54+3.25+2.73+1.35+1.58+4.65+4.44+3.35+3.83+1.83+1.22+3.87+2.64+5.25+1.92+6.02)/35</f>
        <v>3.5159999999999996</v>
      </c>
      <c r="C5" s="10">
        <v>35</v>
      </c>
      <c r="E5" s="4" t="s">
        <v>8</v>
      </c>
      <c r="F5" s="11">
        <f>(4.96+4.74+6.26+3.37+4.82+4.48)/6</f>
        <v>4.7716666666666665</v>
      </c>
      <c r="G5" s="10">
        <v>6</v>
      </c>
      <c r="I5" s="6" t="s">
        <v>12</v>
      </c>
      <c r="J5" s="7">
        <v>3.92</v>
      </c>
    </row>
    <row r="6" spans="1:10" x14ac:dyDescent="0.2">
      <c r="A6" s="4" t="s">
        <v>10</v>
      </c>
      <c r="B6" s="11">
        <f>(5.55+3.86)/2</f>
        <v>4.7050000000000001</v>
      </c>
      <c r="C6" s="10">
        <v>2</v>
      </c>
      <c r="E6" s="4" t="s">
        <v>11</v>
      </c>
      <c r="F6" s="11">
        <f>(4.98+2.41+1.49+4.37+4.49+3.09+1.47+4.51+3.33+1.39+1.86+5.27+3.84+3.89+0+4.15+2.96+1.99)/18</f>
        <v>3.0827777777777778</v>
      </c>
      <c r="G6" s="10">
        <v>18</v>
      </c>
      <c r="I6" s="6" t="s">
        <v>16</v>
      </c>
      <c r="J6" s="7">
        <v>4.33</v>
      </c>
    </row>
    <row r="7" spans="1:10" x14ac:dyDescent="0.2">
      <c r="A7" s="4" t="s">
        <v>13</v>
      </c>
      <c r="B7" s="5" t="s">
        <v>14</v>
      </c>
      <c r="C7" s="6">
        <v>0</v>
      </c>
      <c r="E7" s="4" t="s">
        <v>15</v>
      </c>
      <c r="F7" s="12">
        <v>2.76</v>
      </c>
      <c r="G7" s="13">
        <v>1</v>
      </c>
      <c r="I7" s="6" t="s">
        <v>19</v>
      </c>
      <c r="J7" s="7">
        <v>4.5999999999999996</v>
      </c>
    </row>
    <row r="8" spans="1:10" x14ac:dyDescent="0.2">
      <c r="A8" s="4" t="s">
        <v>17</v>
      </c>
      <c r="B8" s="7">
        <f>(4.22+4.16+3.48+3.87)/4</f>
        <v>3.9325000000000001</v>
      </c>
      <c r="C8" s="6">
        <v>4</v>
      </c>
      <c r="E8" s="4" t="s">
        <v>18</v>
      </c>
      <c r="F8" s="7">
        <f>(5.6+1.51+3.76+4.55+1.6+4.53+5.65+4.64+5.98)/9</f>
        <v>4.2022222222222227</v>
      </c>
      <c r="G8" s="6">
        <v>9</v>
      </c>
      <c r="I8" s="6" t="s">
        <v>22</v>
      </c>
      <c r="J8" s="7">
        <v>3.89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11">
        <f>(3.97+3.2+3.53+3.6)/4</f>
        <v>3.5749999999999997</v>
      </c>
      <c r="G9" s="10">
        <v>4</v>
      </c>
      <c r="I9" s="6" t="s">
        <v>25</v>
      </c>
      <c r="J9" s="7">
        <v>4</v>
      </c>
    </row>
    <row r="10" spans="1:10" x14ac:dyDescent="0.2">
      <c r="A10" s="4" t="s">
        <v>23</v>
      </c>
      <c r="B10" s="9">
        <f>(7.53)/1</f>
        <v>7.53</v>
      </c>
      <c r="C10" s="10">
        <v>1</v>
      </c>
      <c r="E10" s="4" t="s">
        <v>24</v>
      </c>
      <c r="F10" s="11">
        <f>(2.69+2.77+2.62+2.95+5.44)/5</f>
        <v>3.2940000000000005</v>
      </c>
      <c r="G10" s="10">
        <v>5</v>
      </c>
      <c r="I10" s="6" t="s">
        <v>28</v>
      </c>
      <c r="J10" s="7">
        <v>5.16</v>
      </c>
    </row>
    <row r="11" spans="1:10" x14ac:dyDescent="0.2">
      <c r="A11" s="4" t="s">
        <v>26</v>
      </c>
      <c r="B11" s="7">
        <f>(5.17+4.85)/2</f>
        <v>5.01</v>
      </c>
      <c r="C11" s="6">
        <v>2</v>
      </c>
      <c r="E11" s="4" t="s">
        <v>27</v>
      </c>
      <c r="F11" s="7">
        <f>(1.7+4.94+3.81+3.19+4.85+3+4.43+4.54+3.42)/9</f>
        <v>3.7644444444444449</v>
      </c>
      <c r="G11" s="6">
        <v>9</v>
      </c>
      <c r="I11" s="6" t="s">
        <v>32</v>
      </c>
      <c r="J11" s="7">
        <v>5.81</v>
      </c>
    </row>
    <row r="12" spans="1:10" x14ac:dyDescent="0.2">
      <c r="A12" s="4" t="s">
        <v>29</v>
      </c>
      <c r="B12" s="5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35</v>
      </c>
      <c r="J12" s="7">
        <v>5.04</v>
      </c>
    </row>
    <row r="13" spans="1:10" x14ac:dyDescent="0.2">
      <c r="A13" s="4" t="s">
        <v>33</v>
      </c>
      <c r="B13" s="9" t="s">
        <v>14</v>
      </c>
      <c r="C13" s="10">
        <v>0</v>
      </c>
      <c r="E13" s="4" t="s">
        <v>34</v>
      </c>
      <c r="F13" s="9" t="s">
        <v>14</v>
      </c>
      <c r="G13" s="10">
        <v>0</v>
      </c>
      <c r="I13" s="6" t="s">
        <v>38</v>
      </c>
      <c r="J13" s="7">
        <v>2.62</v>
      </c>
    </row>
    <row r="14" spans="1:10" x14ac:dyDescent="0.2">
      <c r="A14" s="4" t="s">
        <v>36</v>
      </c>
      <c r="B14" s="11">
        <v>2.97</v>
      </c>
      <c r="C14" s="10">
        <v>1</v>
      </c>
      <c r="E14" s="4" t="s">
        <v>37</v>
      </c>
      <c r="F14" s="11">
        <f>(3.99+3.23+4.67+4.16+5.24+1.75+5.11+2.56+4.32+4.07+2.47+2.66+2.68+4.53+4.5+4.99+2.47+4.94+5.93+3.71+2.38)/21</f>
        <v>3.8266666666666667</v>
      </c>
      <c r="G14" s="10">
        <v>21</v>
      </c>
      <c r="I14" s="6" t="s">
        <v>41</v>
      </c>
      <c r="J14" s="7">
        <v>4.2300000000000004</v>
      </c>
    </row>
    <row r="15" spans="1:10" x14ac:dyDescent="0.2">
      <c r="A15" s="4" t="s">
        <v>39</v>
      </c>
      <c r="B15" s="5">
        <v>4.3099999999999996</v>
      </c>
      <c r="C15" s="6">
        <v>1</v>
      </c>
      <c r="E15" s="4" t="s">
        <v>40</v>
      </c>
      <c r="F15" s="5" t="s">
        <v>14</v>
      </c>
      <c r="G15" s="6">
        <v>0</v>
      </c>
      <c r="I15" s="6" t="s">
        <v>44</v>
      </c>
      <c r="J15" s="7">
        <v>5.79</v>
      </c>
    </row>
    <row r="16" spans="1:10" x14ac:dyDescent="0.2">
      <c r="A16" s="4" t="s">
        <v>42</v>
      </c>
      <c r="B16" s="5">
        <f>(3.67+4.22+3.75)/3</f>
        <v>3.8800000000000003</v>
      </c>
      <c r="C16" s="6">
        <v>3</v>
      </c>
      <c r="E16" s="4" t="s">
        <v>43</v>
      </c>
      <c r="F16" s="7">
        <v>3.3</v>
      </c>
      <c r="G16" s="6">
        <v>1</v>
      </c>
      <c r="I16" s="6" t="s">
        <v>47</v>
      </c>
      <c r="J16" s="7">
        <v>3.97</v>
      </c>
    </row>
    <row r="17" spans="1:10" x14ac:dyDescent="0.2">
      <c r="A17" s="4" t="s">
        <v>45</v>
      </c>
      <c r="B17" s="9">
        <v>3.87</v>
      </c>
      <c r="C17" s="10">
        <v>1</v>
      </c>
      <c r="E17" s="4" t="s">
        <v>46</v>
      </c>
      <c r="F17" s="11">
        <f>(2.95+3.02+3.49+0.26+5.38+3.85+2.95+3.71+2.81+6.3+4.62)/11</f>
        <v>3.5763636363636362</v>
      </c>
      <c r="G17" s="10">
        <v>11</v>
      </c>
      <c r="I17" s="6" t="s">
        <v>50</v>
      </c>
      <c r="J17" s="7">
        <v>3.6</v>
      </c>
    </row>
    <row r="18" spans="1:10" x14ac:dyDescent="0.2">
      <c r="A18" s="4" t="s">
        <v>48</v>
      </c>
      <c r="B18" s="9" t="s">
        <v>14</v>
      </c>
      <c r="C18" s="10">
        <v>1</v>
      </c>
      <c r="E18" s="4" t="s">
        <v>49</v>
      </c>
      <c r="F18" s="11">
        <f>(2.91+3.95+4.23+3.66+4.78+5.74+11.12+5.47+3.9+5.83+1.83+2.52+4.11+4.6+3.66+1.98+0.58+5.48+2.94+2.82+2.98+6.58+3.97+2.52+4.19+4.22)/26</f>
        <v>4.0988461538461527</v>
      </c>
      <c r="G18" s="10">
        <v>26</v>
      </c>
      <c r="I18" s="6" t="s">
        <v>53</v>
      </c>
      <c r="J18" s="7">
        <v>4.41</v>
      </c>
    </row>
    <row r="19" spans="1:10" x14ac:dyDescent="0.2">
      <c r="A19" s="4" t="s">
        <v>51</v>
      </c>
      <c r="B19" s="5" t="s">
        <v>14</v>
      </c>
      <c r="C19" s="6">
        <v>0</v>
      </c>
      <c r="E19" s="4" t="s">
        <v>52</v>
      </c>
      <c r="F19" s="7">
        <f>(3.38+9.2+6.05+8.97)/4</f>
        <v>6.9</v>
      </c>
      <c r="G19" s="6">
        <v>4</v>
      </c>
      <c r="I19" s="6" t="s">
        <v>56</v>
      </c>
      <c r="J19" s="7">
        <v>4.42</v>
      </c>
    </row>
    <row r="20" spans="1:10" x14ac:dyDescent="0.2">
      <c r="A20" s="4" t="s">
        <v>54</v>
      </c>
      <c r="B20" s="7">
        <f>(3.71+2.67+3.02+1.91+2.73+2.38)/6</f>
        <v>2.7366666666666668</v>
      </c>
      <c r="C20" s="6">
        <v>6</v>
      </c>
      <c r="E20" s="4" t="s">
        <v>55</v>
      </c>
      <c r="F20" s="7">
        <f>(9.23+3.38+6.64+1.74)/4</f>
        <v>5.2474999999999996</v>
      </c>
      <c r="G20" s="6">
        <v>4</v>
      </c>
      <c r="I20" s="6" t="s">
        <v>59</v>
      </c>
      <c r="J20" s="7">
        <v>3.26</v>
      </c>
    </row>
    <row r="21" spans="1:10" ht="15.75" customHeight="1" x14ac:dyDescent="0.2">
      <c r="A21" s="4" t="s">
        <v>57</v>
      </c>
      <c r="B21" s="9" t="s">
        <v>14</v>
      </c>
      <c r="C21" s="10">
        <v>0</v>
      </c>
      <c r="E21" s="4" t="s">
        <v>58</v>
      </c>
      <c r="F21" s="11">
        <f>(3.01+4.61+3.77+3.11+3.48+2.7+3.55)/7</f>
        <v>3.4614285714285713</v>
      </c>
      <c r="G21" s="10">
        <v>7</v>
      </c>
      <c r="I21" s="6" t="s">
        <v>62</v>
      </c>
      <c r="J21" s="7">
        <v>4.5199999999999996</v>
      </c>
    </row>
    <row r="22" spans="1:10" ht="15.75" customHeight="1" x14ac:dyDescent="0.2">
      <c r="A22" s="4" t="s">
        <v>60</v>
      </c>
      <c r="B22" s="9" t="s">
        <v>14</v>
      </c>
      <c r="C22" s="10">
        <v>0</v>
      </c>
      <c r="E22" s="4" t="s">
        <v>61</v>
      </c>
      <c r="F22" s="9" t="s">
        <v>14</v>
      </c>
      <c r="G22" s="10">
        <v>0</v>
      </c>
      <c r="I22" s="6" t="s">
        <v>65</v>
      </c>
      <c r="J22" s="7">
        <v>4.53</v>
      </c>
    </row>
    <row r="23" spans="1:10" ht="15.75" customHeight="1" x14ac:dyDescent="0.2">
      <c r="A23" s="4" t="s">
        <v>63</v>
      </c>
      <c r="B23" s="5">
        <v>6.35</v>
      </c>
      <c r="C23" s="6">
        <v>1</v>
      </c>
      <c r="E23" s="4" t="s">
        <v>64</v>
      </c>
      <c r="F23" s="5">
        <v>0</v>
      </c>
      <c r="G23" s="6">
        <v>1</v>
      </c>
      <c r="I23" s="6" t="s">
        <v>68</v>
      </c>
      <c r="J23" s="7">
        <v>3.68</v>
      </c>
    </row>
    <row r="24" spans="1:10" ht="15.75" customHeight="1" x14ac:dyDescent="0.2">
      <c r="A24" s="4" t="s">
        <v>66</v>
      </c>
      <c r="B24" s="5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3.94</v>
      </c>
    </row>
    <row r="25" spans="1:10" ht="15.75" customHeight="1" x14ac:dyDescent="0.2">
      <c r="A25" s="4" t="s">
        <v>69</v>
      </c>
      <c r="B25" s="11">
        <f>(4.27+3.37+3.96)/3</f>
        <v>3.8666666666666667</v>
      </c>
      <c r="C25" s="10">
        <v>3</v>
      </c>
      <c r="E25" s="4" t="s">
        <v>70</v>
      </c>
      <c r="F25" s="11">
        <f>(3.82+0)/2</f>
        <v>1.91</v>
      </c>
      <c r="G25" s="10">
        <v>2</v>
      </c>
      <c r="I25" s="6" t="s">
        <v>74</v>
      </c>
      <c r="J25" s="7">
        <v>6.22</v>
      </c>
    </row>
    <row r="26" spans="1:10" ht="15.75" customHeight="1" x14ac:dyDescent="0.2">
      <c r="A26" s="4" t="s">
        <v>72</v>
      </c>
      <c r="B26" s="9" t="s">
        <v>14</v>
      </c>
      <c r="C26" s="10">
        <v>0</v>
      </c>
      <c r="E26" s="4" t="s">
        <v>73</v>
      </c>
      <c r="F26" s="11">
        <v>4.46</v>
      </c>
      <c r="G26" s="10">
        <v>1</v>
      </c>
      <c r="I26" s="6" t="s">
        <v>77</v>
      </c>
      <c r="J26" s="7">
        <v>6.3</v>
      </c>
    </row>
    <row r="27" spans="1:10" ht="15.75" customHeight="1" x14ac:dyDescent="0.2">
      <c r="A27" s="4" t="s">
        <v>75</v>
      </c>
      <c r="B27" s="7">
        <v>4.84</v>
      </c>
      <c r="C27" s="6">
        <v>1</v>
      </c>
      <c r="E27" s="4" t="s">
        <v>76</v>
      </c>
      <c r="F27" s="7">
        <f>(3.78+2.04+5.68+5.45+5.76+3.97)/6</f>
        <v>4.4466666666666663</v>
      </c>
      <c r="G27" s="6">
        <v>6</v>
      </c>
      <c r="I27" s="6" t="s">
        <v>80</v>
      </c>
      <c r="J27" s="7">
        <v>4.95</v>
      </c>
    </row>
    <row r="28" spans="1:10" ht="15.75" customHeight="1" x14ac:dyDescent="0.2">
      <c r="A28" s="4" t="s">
        <v>78</v>
      </c>
      <c r="B28" s="7">
        <f>(2.34+2.26+3.75+5.37+3.36+2.39+3.31)/7</f>
        <v>3.254285714285714</v>
      </c>
      <c r="C28" s="6">
        <v>7</v>
      </c>
      <c r="E28" s="4" t="s">
        <v>79</v>
      </c>
      <c r="F28" s="12">
        <f>(5.26+5.82+5.34+2.25+5.83+2.06+4.9+7.11+2.08+3.98+5.74+3.73+4.43+7.02+2.94+0)/16</f>
        <v>4.2806249999999997</v>
      </c>
      <c r="G28" s="6">
        <v>16</v>
      </c>
      <c r="I28" s="6" t="s">
        <v>83</v>
      </c>
      <c r="J28" s="7">
        <v>3.63</v>
      </c>
    </row>
    <row r="29" spans="1:10" ht="15.75" customHeight="1" x14ac:dyDescent="0.2">
      <c r="A29" s="4" t="s">
        <v>81</v>
      </c>
      <c r="B29" s="11">
        <f>(3.22+4.86+6.81+1.96)/4</f>
        <v>4.2125000000000004</v>
      </c>
      <c r="C29" s="10">
        <v>4</v>
      </c>
      <c r="E29" s="4" t="s">
        <v>82</v>
      </c>
      <c r="F29" s="9" t="s">
        <v>14</v>
      </c>
      <c r="G29" s="10">
        <v>0</v>
      </c>
      <c r="I29" s="6" t="s">
        <v>86</v>
      </c>
      <c r="J29" s="7">
        <v>5.35</v>
      </c>
    </row>
    <row r="30" spans="1:10" ht="15.75" customHeight="1" x14ac:dyDescent="0.2">
      <c r="A30" s="4" t="s">
        <v>84</v>
      </c>
      <c r="B30" s="11">
        <f>(1.61+4.26)/2</f>
        <v>2.9350000000000001</v>
      </c>
      <c r="C30" s="10">
        <v>2</v>
      </c>
      <c r="E30" s="4" t="s">
        <v>85</v>
      </c>
      <c r="F30" s="11">
        <f>(6.03+9.23)/2</f>
        <v>7.6300000000000008</v>
      </c>
      <c r="G30" s="10">
        <v>2</v>
      </c>
      <c r="I30" s="6" t="s">
        <v>89</v>
      </c>
      <c r="J30" s="7">
        <v>4.2699999999999996</v>
      </c>
    </row>
    <row r="31" spans="1:10" ht="15.75" customHeight="1" x14ac:dyDescent="0.2">
      <c r="A31" s="4" t="s">
        <v>87</v>
      </c>
      <c r="B31" s="5">
        <f>(5.96+3.8+0.88)/3</f>
        <v>3.5466666666666669</v>
      </c>
      <c r="C31" s="6">
        <v>3</v>
      </c>
      <c r="E31" s="4" t="s">
        <v>88</v>
      </c>
      <c r="F31" s="7">
        <f>(3.36+6.98)/2</f>
        <v>5.17</v>
      </c>
      <c r="G31" s="6">
        <v>2</v>
      </c>
      <c r="I31" s="6" t="s">
        <v>91</v>
      </c>
      <c r="J31" s="7">
        <v>4.92</v>
      </c>
    </row>
    <row r="32" spans="1:10" ht="15.75" customHeight="1" x14ac:dyDescent="0.2">
      <c r="A32" s="4" t="s">
        <v>65</v>
      </c>
      <c r="B32" s="7">
        <v>0.44</v>
      </c>
      <c r="C32" s="6">
        <v>1</v>
      </c>
      <c r="E32" s="4" t="s">
        <v>90</v>
      </c>
      <c r="F32" s="7">
        <f>(2.93+2.41+3.66+2.68+2.11+2.11+0.66)/7</f>
        <v>2.3657142857142857</v>
      </c>
      <c r="G32" s="6">
        <v>7</v>
      </c>
      <c r="I32" s="6" t="s">
        <v>94</v>
      </c>
      <c r="J32" s="7">
        <v>5.37</v>
      </c>
    </row>
    <row r="33" spans="1:10" ht="15.75" customHeight="1" x14ac:dyDescent="0.2">
      <c r="A33" s="4" t="s">
        <v>92</v>
      </c>
      <c r="B33" s="9">
        <v>0</v>
      </c>
      <c r="C33" s="10">
        <v>1</v>
      </c>
      <c r="E33" s="4" t="s">
        <v>93</v>
      </c>
      <c r="F33" s="9">
        <f>(4.35+4.26)/2</f>
        <v>4.3049999999999997</v>
      </c>
      <c r="G33" s="10">
        <v>2</v>
      </c>
      <c r="I33" s="6" t="s">
        <v>97</v>
      </c>
      <c r="J33" s="7">
        <v>4.04</v>
      </c>
    </row>
    <row r="34" spans="1:10" ht="15.75" customHeight="1" x14ac:dyDescent="0.2">
      <c r="A34" s="4" t="s">
        <v>95</v>
      </c>
      <c r="B34" s="9" t="s">
        <v>14</v>
      </c>
      <c r="C34" s="10">
        <v>0</v>
      </c>
      <c r="E34" s="4" t="s">
        <v>96</v>
      </c>
      <c r="F34" s="11">
        <v>5.54</v>
      </c>
      <c r="G34" s="10">
        <v>1</v>
      </c>
      <c r="I34" s="6" t="s">
        <v>100</v>
      </c>
      <c r="J34" s="7">
        <v>5.65</v>
      </c>
    </row>
    <row r="35" spans="1:10" ht="15.75" customHeight="1" x14ac:dyDescent="0.2">
      <c r="A35" s="4" t="s">
        <v>98</v>
      </c>
      <c r="B35" s="5" t="s">
        <v>14</v>
      </c>
      <c r="C35" s="6">
        <v>0</v>
      </c>
      <c r="E35" s="4" t="s">
        <v>99</v>
      </c>
      <c r="F35" s="7">
        <f>(4.51+5.02)/2</f>
        <v>4.7649999999999997</v>
      </c>
      <c r="G35" s="6">
        <v>2</v>
      </c>
      <c r="I35" s="6" t="s">
        <v>103</v>
      </c>
      <c r="J35" s="7">
        <v>4.7300000000000004</v>
      </c>
    </row>
    <row r="36" spans="1:10" ht="15.75" customHeight="1" x14ac:dyDescent="0.2">
      <c r="A36" s="4" t="s">
        <v>101</v>
      </c>
      <c r="B36" s="5" t="s">
        <v>14</v>
      </c>
      <c r="C36" s="6">
        <v>0</v>
      </c>
      <c r="E36" s="4" t="s">
        <v>102</v>
      </c>
      <c r="F36" s="7">
        <f>(3.44+4.04)/2</f>
        <v>3.74</v>
      </c>
      <c r="G36" s="6">
        <v>2</v>
      </c>
      <c r="I36" s="6" t="s">
        <v>105</v>
      </c>
      <c r="J36" s="7">
        <v>3.67</v>
      </c>
    </row>
    <row r="37" spans="1:10" ht="15.75" customHeight="1" x14ac:dyDescent="0.2">
      <c r="A37" s="4" t="s">
        <v>104</v>
      </c>
      <c r="B37" s="9" t="s">
        <v>14</v>
      </c>
      <c r="C37" s="10">
        <v>0</v>
      </c>
      <c r="I37" s="6" t="s">
        <v>106</v>
      </c>
      <c r="J37" s="7">
        <v>3.95</v>
      </c>
    </row>
    <row r="38" spans="1:10" ht="15.75" customHeight="1" x14ac:dyDescent="0.2">
      <c r="I38" s="6" t="s">
        <v>107</v>
      </c>
      <c r="J38" s="7">
        <v>3.46</v>
      </c>
    </row>
    <row r="39" spans="1:10" ht="15.75" customHeight="1" x14ac:dyDescent="0.2">
      <c r="I39" s="6" t="s">
        <v>108</v>
      </c>
      <c r="J39" s="7">
        <v>4.1900000000000004</v>
      </c>
    </row>
    <row r="40" spans="1:10" ht="15.75" customHeight="1" x14ac:dyDescent="0.2">
      <c r="I40" s="6" t="s">
        <v>109</v>
      </c>
      <c r="J40" s="7">
        <v>4.26</v>
      </c>
    </row>
    <row r="41" spans="1:10" ht="15.75" customHeight="1" x14ac:dyDescent="0.2">
      <c r="I41" s="6" t="s">
        <v>110</v>
      </c>
      <c r="J41" s="7">
        <v>4.08</v>
      </c>
    </row>
    <row r="42" spans="1:10" ht="15.75" customHeight="1" x14ac:dyDescent="0.2">
      <c r="I42" s="6" t="s">
        <v>111</v>
      </c>
      <c r="J42" s="7">
        <v>4.13</v>
      </c>
    </row>
    <row r="43" spans="1:10" ht="15.75" customHeight="1" x14ac:dyDescent="0.2">
      <c r="I43" s="6" t="s">
        <v>112</v>
      </c>
      <c r="J43" s="7">
        <v>5.58</v>
      </c>
    </row>
    <row r="44" spans="1:10" ht="15.75" customHeight="1" x14ac:dyDescent="0.2">
      <c r="I44" s="6" t="s">
        <v>113</v>
      </c>
      <c r="J44" s="7">
        <v>4.26</v>
      </c>
    </row>
    <row r="45" spans="1:10" ht="15.75" customHeight="1" x14ac:dyDescent="0.2">
      <c r="I45" s="6" t="s">
        <v>114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3">
    <mergeCell ref="A1:H1"/>
    <mergeCell ref="A2:H2"/>
    <mergeCell ref="I3:J3"/>
  </mergeCell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122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123</v>
      </c>
    </row>
    <row r="4" spans="1:10" x14ac:dyDescent="0.2">
      <c r="A4" s="4" t="s">
        <v>4</v>
      </c>
      <c r="B4" s="24">
        <v>5.13</v>
      </c>
      <c r="C4" s="6">
        <v>1</v>
      </c>
      <c r="E4" s="4" t="s">
        <v>5</v>
      </c>
      <c r="F4" s="5">
        <f>(0+6.39)/2</f>
        <v>3.1949999999999998</v>
      </c>
      <c r="G4" s="6">
        <v>2</v>
      </c>
      <c r="I4" s="6" t="s">
        <v>9</v>
      </c>
      <c r="J4" s="7">
        <v>5.2</v>
      </c>
    </row>
    <row r="5" spans="1:10" x14ac:dyDescent="0.2">
      <c r="A5" s="4" t="s">
        <v>7</v>
      </c>
      <c r="B5" s="9">
        <f>(12.31+10.99+12.91+7.5+9.87+11.09+5.9+7.51+10.47+7.63+8.84+10.98+8.28+6.16+7.93+12.74+6.41+4.64+7.8+11.26+12.72+7.16+11.83+10.19+11.81+9.69+8.9+7.27+11.98+13.47+12.24+13.58+10.06+19.7+9.92)/35</f>
        <v>10.049714285714288</v>
      </c>
      <c r="C5" s="10">
        <v>35</v>
      </c>
      <c r="E5" s="4" t="s">
        <v>8</v>
      </c>
      <c r="F5" s="9">
        <f>(3.44+4.25+3.32+4.71+0.66+1.24)/6</f>
        <v>2.9366666666666661</v>
      </c>
      <c r="G5" s="10">
        <v>6</v>
      </c>
      <c r="I5" s="6" t="s">
        <v>12</v>
      </c>
      <c r="J5" s="7">
        <v>4.3600000000000003</v>
      </c>
    </row>
    <row r="6" spans="1:10" x14ac:dyDescent="0.2">
      <c r="A6" s="4" t="s">
        <v>10</v>
      </c>
      <c r="B6" s="9">
        <f>(11.56+8.68)/2</f>
        <v>10.120000000000001</v>
      </c>
      <c r="C6" s="10">
        <v>2</v>
      </c>
      <c r="E6" s="4" t="s">
        <v>11</v>
      </c>
      <c r="F6" s="9">
        <f>(3.95+3.45+2.71+3.47+2.73+3.8+4.05+2.24+3.69+4.26+2.47+1.67+3.54+4.24+3.98+2.3+3.94)/17</f>
        <v>3.3229411764705881</v>
      </c>
      <c r="G6" s="10">
        <v>17</v>
      </c>
      <c r="I6" s="6" t="s">
        <v>16</v>
      </c>
      <c r="J6" s="7">
        <v>4.45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4</v>
      </c>
      <c r="G7" s="6">
        <v>1</v>
      </c>
      <c r="I7" s="6" t="s">
        <v>19</v>
      </c>
      <c r="J7" s="7">
        <v>4.88</v>
      </c>
    </row>
    <row r="8" spans="1:10" x14ac:dyDescent="0.2">
      <c r="A8" s="4" t="s">
        <v>17</v>
      </c>
      <c r="B8" s="24">
        <f>(3.36+3.65+2.93+2.67)/4</f>
        <v>3.1524999999999999</v>
      </c>
      <c r="C8" s="6">
        <v>4</v>
      </c>
      <c r="E8" s="4" t="s">
        <v>18</v>
      </c>
      <c r="F8" s="5">
        <f>(3.16+1.95+2.26+1.94+0.76+1.27+1.85+2.78+0.96)/9</f>
        <v>1.8811111111111112</v>
      </c>
      <c r="G8" s="6">
        <v>9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10">
        <v>0</v>
      </c>
      <c r="E9" s="4" t="s">
        <v>21</v>
      </c>
      <c r="F9" s="9">
        <f>(1.82+2.35+2.65+3.27)/4</f>
        <v>2.5225</v>
      </c>
      <c r="G9" s="10">
        <v>4</v>
      </c>
      <c r="I9" s="6" t="s">
        <v>25</v>
      </c>
      <c r="J9" s="7">
        <v>4.3499999999999996</v>
      </c>
    </row>
    <row r="10" spans="1:10" x14ac:dyDescent="0.2">
      <c r="A10" s="4" t="s">
        <v>23</v>
      </c>
      <c r="B10" s="9">
        <v>6.11</v>
      </c>
      <c r="C10" s="10">
        <v>1</v>
      </c>
      <c r="E10" s="4" t="s">
        <v>24</v>
      </c>
      <c r="F10" s="9">
        <f>(8.69+10.08+9.75+7.94+7.9)/5</f>
        <v>8.8719999999999999</v>
      </c>
      <c r="G10" s="10">
        <v>5</v>
      </c>
      <c r="I10" s="6" t="s">
        <v>28</v>
      </c>
      <c r="J10" s="7">
        <v>4.6900000000000004</v>
      </c>
    </row>
    <row r="11" spans="1:10" x14ac:dyDescent="0.2">
      <c r="A11" s="4" t="s">
        <v>26</v>
      </c>
      <c r="B11" s="24">
        <f>(7.73+4.18)/2</f>
        <v>5.9550000000000001</v>
      </c>
      <c r="C11" s="6">
        <v>2</v>
      </c>
      <c r="E11" s="4" t="s">
        <v>27</v>
      </c>
      <c r="F11" s="5">
        <f>(2.63+2.26+1.51+2.63+2.98+4.08+2.18+3.29)/8</f>
        <v>2.6949999999999998</v>
      </c>
      <c r="G11" s="6">
        <v>8</v>
      </c>
      <c r="I11" s="6" t="s">
        <v>32</v>
      </c>
      <c r="J11" s="7">
        <v>6.46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35</v>
      </c>
      <c r="J12" s="7">
        <v>4.51</v>
      </c>
    </row>
    <row r="13" spans="1:10" x14ac:dyDescent="0.2">
      <c r="A13" s="4" t="s">
        <v>33</v>
      </c>
      <c r="B13" s="9" t="s">
        <v>14</v>
      </c>
      <c r="C13" s="10">
        <v>0</v>
      </c>
      <c r="E13" s="4" t="s">
        <v>34</v>
      </c>
      <c r="F13" s="9" t="s">
        <v>14</v>
      </c>
      <c r="G13" s="10">
        <v>0</v>
      </c>
      <c r="I13" s="6" t="s">
        <v>38</v>
      </c>
      <c r="J13" s="7">
        <v>3.39</v>
      </c>
    </row>
    <row r="14" spans="1:10" x14ac:dyDescent="0.2">
      <c r="A14" s="4" t="s">
        <v>36</v>
      </c>
      <c r="B14" s="9">
        <v>3.6</v>
      </c>
      <c r="C14" s="10">
        <v>1</v>
      </c>
      <c r="E14" s="4" t="s">
        <v>37</v>
      </c>
      <c r="F14" s="9">
        <f>(3.07+3.15+3.1+2.41+2.5+3.43+3.32+4.61+3.41+4.07+4.66+3.17+2.53+3.74+2.43+3.08+4.02+2.29+3.9+3.07+3.52+0)/22</f>
        <v>3.1581818181818178</v>
      </c>
      <c r="G14" s="10">
        <v>22</v>
      </c>
      <c r="I14" s="6" t="s">
        <v>41</v>
      </c>
      <c r="J14" s="7">
        <v>4.28</v>
      </c>
    </row>
    <row r="15" spans="1:10" x14ac:dyDescent="0.2">
      <c r="A15" s="4" t="s">
        <v>39</v>
      </c>
      <c r="B15" s="24">
        <v>6.66</v>
      </c>
      <c r="C15" s="6">
        <v>1</v>
      </c>
      <c r="E15" s="4" t="s">
        <v>40</v>
      </c>
      <c r="F15" s="5" t="s">
        <v>14</v>
      </c>
      <c r="G15" s="6">
        <v>0</v>
      </c>
      <c r="I15" s="6" t="s">
        <v>44</v>
      </c>
      <c r="J15" s="7">
        <v>4.71</v>
      </c>
    </row>
    <row r="16" spans="1:10" x14ac:dyDescent="0.2">
      <c r="A16" s="4" t="s">
        <v>42</v>
      </c>
      <c r="B16" s="24">
        <f>(7.31+9.22+6.83+0.23)/4</f>
        <v>5.8975</v>
      </c>
      <c r="C16" s="6">
        <v>4</v>
      </c>
      <c r="E16" s="4" t="s">
        <v>43</v>
      </c>
      <c r="F16" s="5">
        <v>3.07</v>
      </c>
      <c r="G16" s="6">
        <v>1</v>
      </c>
      <c r="I16" s="6" t="s">
        <v>47</v>
      </c>
      <c r="J16" s="7">
        <v>4.0999999999999996</v>
      </c>
    </row>
    <row r="17" spans="1:10" x14ac:dyDescent="0.2">
      <c r="A17" s="4" t="s">
        <v>45</v>
      </c>
      <c r="B17" s="9">
        <v>4.2</v>
      </c>
      <c r="C17" s="10">
        <v>1</v>
      </c>
      <c r="E17" s="4" t="s">
        <v>46</v>
      </c>
      <c r="F17" s="9">
        <f>(4.6+3.27+3.27+3.71+2.75+3.9+3.53+5.7+2.67+4.14)/10</f>
        <v>3.754</v>
      </c>
      <c r="G17" s="10">
        <v>10</v>
      </c>
      <c r="I17" s="6" t="s">
        <v>50</v>
      </c>
      <c r="J17" s="7">
        <v>5.08</v>
      </c>
    </row>
    <row r="18" spans="1:10" x14ac:dyDescent="0.2">
      <c r="A18" s="4" t="s">
        <v>48</v>
      </c>
      <c r="B18" s="9" t="s">
        <v>14</v>
      </c>
      <c r="C18" s="10">
        <v>0</v>
      </c>
      <c r="E18" s="4" t="s">
        <v>49</v>
      </c>
      <c r="F18" s="9">
        <f>(11.98+9.76+8.18+9.01+8.18+9.95+11.03+7.46+8.8+7.73+9.51+0.4+10.13+17.71+10.64+9.94+10.77+5.78+8.57+10.75+5.74+12.28+13.02+8.53+6.66+0.13+8.64+8.23)/28</f>
        <v>8.9110714285714288</v>
      </c>
      <c r="G18" s="10">
        <v>28</v>
      </c>
      <c r="I18" s="6" t="s">
        <v>53</v>
      </c>
      <c r="J18" s="7">
        <v>5.14</v>
      </c>
    </row>
    <row r="19" spans="1:10" x14ac:dyDescent="0.2">
      <c r="A19" s="4" t="s">
        <v>51</v>
      </c>
      <c r="B19" s="24" t="s">
        <v>14</v>
      </c>
      <c r="C19" s="6">
        <v>0</v>
      </c>
      <c r="E19" s="4" t="s">
        <v>52</v>
      </c>
      <c r="F19" s="5">
        <f>(7.77+9.52+8.68+9.89)/4</f>
        <v>8.9649999999999999</v>
      </c>
      <c r="G19" s="6">
        <v>4</v>
      </c>
      <c r="I19" s="6" t="s">
        <v>56</v>
      </c>
      <c r="J19" s="7">
        <v>5.7</v>
      </c>
    </row>
    <row r="20" spans="1:10" x14ac:dyDescent="0.2">
      <c r="A20" s="4" t="s">
        <v>54</v>
      </c>
      <c r="B20" s="24">
        <f>(3.32+4.26+2.9+2.15+1.85+2.36)/6</f>
        <v>2.8066666666666666</v>
      </c>
      <c r="C20" s="6">
        <v>6</v>
      </c>
      <c r="E20" s="4" t="s">
        <v>55</v>
      </c>
      <c r="F20" s="5">
        <f>(12.51+5.71+5.21+6.37)/4</f>
        <v>7.45</v>
      </c>
      <c r="G20" s="6">
        <v>4</v>
      </c>
      <c r="I20" s="6" t="s">
        <v>59</v>
      </c>
      <c r="J20" s="7">
        <v>4.5999999999999996</v>
      </c>
    </row>
    <row r="21" spans="1:10" ht="15.75" customHeight="1" x14ac:dyDescent="0.2">
      <c r="A21" s="4" t="s">
        <v>57</v>
      </c>
      <c r="B21" s="9" t="s">
        <v>14</v>
      </c>
      <c r="C21" s="10">
        <v>0</v>
      </c>
      <c r="E21" s="4" t="s">
        <v>58</v>
      </c>
      <c r="F21" s="9">
        <f>(2.76+8.04+5.82+3.58+2.44+3.53+2.61)/7</f>
        <v>4.1114285714285712</v>
      </c>
      <c r="G21" s="10">
        <v>7</v>
      </c>
      <c r="I21" s="6" t="s">
        <v>62</v>
      </c>
      <c r="J21" s="7">
        <v>5.52</v>
      </c>
    </row>
    <row r="22" spans="1:10" ht="15.75" customHeight="1" x14ac:dyDescent="0.2">
      <c r="A22" s="4" t="s">
        <v>60</v>
      </c>
      <c r="B22" s="9" t="s">
        <v>14</v>
      </c>
      <c r="C22" s="10">
        <v>0</v>
      </c>
      <c r="E22" s="4" t="s">
        <v>61</v>
      </c>
      <c r="F22" s="9" t="s">
        <v>14</v>
      </c>
      <c r="G22" s="10">
        <v>0</v>
      </c>
      <c r="I22" s="6" t="s">
        <v>65</v>
      </c>
      <c r="J22" s="7">
        <v>4.92</v>
      </c>
    </row>
    <row r="23" spans="1:10" ht="15.75" customHeight="1" x14ac:dyDescent="0.2">
      <c r="A23" s="4" t="s">
        <v>63</v>
      </c>
      <c r="B23" s="24">
        <v>7.99</v>
      </c>
      <c r="C23" s="6">
        <v>1</v>
      </c>
      <c r="E23" s="4" t="s">
        <v>64</v>
      </c>
      <c r="F23" s="5" t="s">
        <v>14</v>
      </c>
      <c r="G23" s="6">
        <v>0</v>
      </c>
      <c r="I23" s="6" t="s">
        <v>68</v>
      </c>
      <c r="J23" s="7">
        <v>5.79</v>
      </c>
    </row>
    <row r="24" spans="1:10" ht="15.75" customHeight="1" x14ac:dyDescent="0.2">
      <c r="A24" s="4" t="s">
        <v>66</v>
      </c>
      <c r="B24" s="24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5</v>
      </c>
    </row>
    <row r="25" spans="1:10" ht="15.75" customHeight="1" x14ac:dyDescent="0.2">
      <c r="A25" s="4" t="s">
        <v>69</v>
      </c>
      <c r="B25" s="9">
        <f>(2.41+2.94+3.62)/3</f>
        <v>2.9899999999999998</v>
      </c>
      <c r="C25" s="10">
        <v>3</v>
      </c>
      <c r="E25" s="4" t="s">
        <v>70</v>
      </c>
      <c r="F25" s="9">
        <f>(5.46+4.42)/2</f>
        <v>4.9399999999999995</v>
      </c>
      <c r="G25" s="10">
        <v>2</v>
      </c>
      <c r="I25" s="6" t="s">
        <v>74</v>
      </c>
      <c r="J25" s="7">
        <v>4.83</v>
      </c>
    </row>
    <row r="26" spans="1:10" ht="15.75" customHeight="1" x14ac:dyDescent="0.2">
      <c r="A26" s="4" t="s">
        <v>72</v>
      </c>
      <c r="B26" s="9" t="s">
        <v>14</v>
      </c>
      <c r="C26" s="10">
        <v>0</v>
      </c>
      <c r="E26" s="4" t="s">
        <v>73</v>
      </c>
      <c r="F26" s="9">
        <v>8.1999999999999993</v>
      </c>
      <c r="G26" s="10">
        <v>1</v>
      </c>
      <c r="I26" s="6" t="s">
        <v>77</v>
      </c>
      <c r="J26" s="7">
        <v>4.95</v>
      </c>
    </row>
    <row r="27" spans="1:10" ht="15.75" customHeight="1" x14ac:dyDescent="0.2">
      <c r="A27" s="4" t="s">
        <v>75</v>
      </c>
      <c r="B27" s="24" t="s">
        <v>14</v>
      </c>
      <c r="C27" s="6">
        <v>0</v>
      </c>
      <c r="E27" s="4" t="s">
        <v>76</v>
      </c>
      <c r="F27" s="5">
        <f>(2.23+4.53+4.89+2.87+3.87+3.73)/6</f>
        <v>3.686666666666667</v>
      </c>
      <c r="G27" s="6">
        <v>6</v>
      </c>
      <c r="I27" s="6" t="s">
        <v>80</v>
      </c>
      <c r="J27" s="7">
        <v>4.3099999999999996</v>
      </c>
    </row>
    <row r="28" spans="1:10" ht="15.75" customHeight="1" x14ac:dyDescent="0.2">
      <c r="A28" s="4" t="s">
        <v>78</v>
      </c>
      <c r="B28" s="24">
        <f>(3.91+4.66+5.33+4.39+2.47+5.67+4.74)/7</f>
        <v>4.4528571428571428</v>
      </c>
      <c r="C28" s="6">
        <v>7</v>
      </c>
      <c r="E28" s="4" t="s">
        <v>79</v>
      </c>
      <c r="F28" s="5">
        <f>(4.82+2.86+5.3+0+3.5+4.71+3.84+4.98+4.08+3.54+1.65+4.12+2.46+2.86+4.66+4.13+0)/17</f>
        <v>3.3829411764705881</v>
      </c>
      <c r="G28" s="6">
        <v>17</v>
      </c>
      <c r="I28" s="6" t="s">
        <v>83</v>
      </c>
      <c r="J28" s="7">
        <v>3.49</v>
      </c>
    </row>
    <row r="29" spans="1:10" ht="15.75" customHeight="1" x14ac:dyDescent="0.2">
      <c r="A29" s="4" t="s">
        <v>81</v>
      </c>
      <c r="B29" s="9">
        <f>(3.04+5.95+3.95+4.51)/4</f>
        <v>4.3625000000000007</v>
      </c>
      <c r="C29" s="10">
        <v>4</v>
      </c>
      <c r="E29" s="4" t="s">
        <v>82</v>
      </c>
      <c r="F29" s="9" t="s">
        <v>14</v>
      </c>
      <c r="G29" s="10">
        <v>0</v>
      </c>
      <c r="I29" s="6" t="s">
        <v>86</v>
      </c>
      <c r="J29" s="7">
        <v>4.87</v>
      </c>
    </row>
    <row r="30" spans="1:10" ht="15.75" customHeight="1" x14ac:dyDescent="0.2">
      <c r="A30" s="4" t="s">
        <v>84</v>
      </c>
      <c r="B30" s="9">
        <f>(7.34+12.22)/2</f>
        <v>9.7800000000000011</v>
      </c>
      <c r="C30" s="10">
        <v>2</v>
      </c>
      <c r="E30" s="4" t="s">
        <v>85</v>
      </c>
      <c r="F30" s="9">
        <f>(3.07+3.14)/2</f>
        <v>3.105</v>
      </c>
      <c r="G30" s="10">
        <v>2</v>
      </c>
      <c r="I30" s="6" t="s">
        <v>89</v>
      </c>
      <c r="J30" s="7">
        <v>4.18</v>
      </c>
    </row>
    <row r="31" spans="1:10" ht="15.75" customHeight="1" x14ac:dyDescent="0.2">
      <c r="A31" s="4" t="s">
        <v>87</v>
      </c>
      <c r="B31" s="24">
        <f>(2.9+3.5+4.2)/3</f>
        <v>3.5333333333333337</v>
      </c>
      <c r="C31" s="6">
        <v>3</v>
      </c>
      <c r="E31" s="4" t="s">
        <v>88</v>
      </c>
      <c r="F31" s="5">
        <f>(5.11+4.38)/2</f>
        <v>4.7450000000000001</v>
      </c>
      <c r="G31" s="6">
        <v>2</v>
      </c>
      <c r="I31" s="6" t="s">
        <v>91</v>
      </c>
      <c r="J31" s="7">
        <v>4.4800000000000004</v>
      </c>
    </row>
    <row r="32" spans="1:10" ht="15.75" customHeight="1" x14ac:dyDescent="0.2">
      <c r="A32" s="4" t="s">
        <v>65</v>
      </c>
      <c r="B32" s="24" t="s">
        <v>14</v>
      </c>
      <c r="C32" s="6">
        <v>0</v>
      </c>
      <c r="E32" s="4" t="s">
        <v>90</v>
      </c>
      <c r="F32" s="5">
        <f>(3.3+2.72+2.98+6.36+4.94+4.92+1.07)/7</f>
        <v>3.7557142857142858</v>
      </c>
      <c r="G32" s="6">
        <v>7</v>
      </c>
      <c r="I32" s="6" t="s">
        <v>94</v>
      </c>
      <c r="J32" s="7">
        <v>1.73</v>
      </c>
    </row>
    <row r="33" spans="1:10" ht="15.75" customHeight="1" x14ac:dyDescent="0.2">
      <c r="A33" s="4" t="s">
        <v>92</v>
      </c>
      <c r="B33" s="9">
        <v>0.46</v>
      </c>
      <c r="C33" s="10">
        <v>1</v>
      </c>
      <c r="E33" s="4" t="s">
        <v>93</v>
      </c>
      <c r="F33" s="9">
        <f>(3.96+2.73)/2</f>
        <v>3.3449999999999998</v>
      </c>
      <c r="G33" s="10">
        <v>2</v>
      </c>
      <c r="I33" s="6" t="s">
        <v>97</v>
      </c>
      <c r="J33" s="7">
        <v>4.34</v>
      </c>
    </row>
    <row r="34" spans="1:10" ht="15.75" customHeight="1" x14ac:dyDescent="0.2">
      <c r="A34" s="4" t="s">
        <v>95</v>
      </c>
      <c r="B34" s="9" t="s">
        <v>14</v>
      </c>
      <c r="C34" s="10">
        <v>0</v>
      </c>
      <c r="E34" s="4" t="s">
        <v>96</v>
      </c>
      <c r="F34" s="9">
        <v>8.89</v>
      </c>
      <c r="G34" s="10">
        <v>1</v>
      </c>
      <c r="I34" s="6" t="s">
        <v>100</v>
      </c>
      <c r="J34" s="7">
        <v>4.4000000000000004</v>
      </c>
    </row>
    <row r="35" spans="1:10" ht="15.75" customHeight="1" x14ac:dyDescent="0.2">
      <c r="A35" s="4" t="s">
        <v>98</v>
      </c>
      <c r="B35" s="24" t="s">
        <v>14</v>
      </c>
      <c r="C35" s="6">
        <v>0</v>
      </c>
      <c r="E35" s="4" t="s">
        <v>99</v>
      </c>
      <c r="F35" s="5">
        <f>(9.13+10.94)/2</f>
        <v>10.035</v>
      </c>
      <c r="G35" s="6">
        <v>2</v>
      </c>
      <c r="I35" s="6" t="s">
        <v>103</v>
      </c>
      <c r="J35" s="7">
        <v>4.67</v>
      </c>
    </row>
    <row r="36" spans="1:10" ht="15.75" customHeight="1" x14ac:dyDescent="0.2">
      <c r="A36" s="4" t="s">
        <v>101</v>
      </c>
      <c r="B36" s="24" t="s">
        <v>14</v>
      </c>
      <c r="C36" s="6">
        <v>0</v>
      </c>
      <c r="E36" s="4" t="s">
        <v>102</v>
      </c>
      <c r="F36" s="5">
        <f>(8.97+5.33+6.68)/3</f>
        <v>6.9933333333333332</v>
      </c>
      <c r="G36" s="6">
        <v>3</v>
      </c>
      <c r="I36" s="6" t="s">
        <v>105</v>
      </c>
      <c r="J36" s="7">
        <v>4.08</v>
      </c>
    </row>
    <row r="37" spans="1:10" ht="15.75" customHeight="1" x14ac:dyDescent="0.2">
      <c r="A37" s="4" t="s">
        <v>104</v>
      </c>
      <c r="B37" s="9" t="s">
        <v>14</v>
      </c>
      <c r="C37" s="10">
        <v>0</v>
      </c>
      <c r="I37" s="6" t="s">
        <v>106</v>
      </c>
      <c r="J37" s="7">
        <v>3.95</v>
      </c>
    </row>
    <row r="38" spans="1:10" ht="15.75" customHeight="1" x14ac:dyDescent="0.2">
      <c r="I38" s="6" t="s">
        <v>107</v>
      </c>
      <c r="J38" s="7">
        <v>5.46</v>
      </c>
    </row>
    <row r="39" spans="1:10" ht="15.75" customHeight="1" x14ac:dyDescent="0.2">
      <c r="I39" s="6" t="s">
        <v>108</v>
      </c>
      <c r="J39" s="7">
        <v>3.82</v>
      </c>
    </row>
    <row r="40" spans="1:10" ht="15.75" customHeight="1" x14ac:dyDescent="0.2">
      <c r="I40" s="6" t="s">
        <v>109</v>
      </c>
      <c r="J40" s="7">
        <v>4.25</v>
      </c>
    </row>
    <row r="41" spans="1:10" ht="15.75" customHeight="1" x14ac:dyDescent="0.2">
      <c r="I41" s="6" t="s">
        <v>110</v>
      </c>
      <c r="J41" s="7">
        <v>5.22</v>
      </c>
    </row>
    <row r="42" spans="1:10" ht="15.75" customHeight="1" x14ac:dyDescent="0.2">
      <c r="I42" s="6" t="s">
        <v>111</v>
      </c>
      <c r="J42" s="7">
        <v>3.81</v>
      </c>
    </row>
    <row r="43" spans="1:10" ht="15.75" customHeight="1" x14ac:dyDescent="0.2">
      <c r="I43" s="6" t="s">
        <v>112</v>
      </c>
      <c r="J43" s="7">
        <v>4.53</v>
      </c>
    </row>
    <row r="44" spans="1:10" ht="15.75" customHeight="1" x14ac:dyDescent="0.2">
      <c r="I44" s="6" t="s">
        <v>113</v>
      </c>
      <c r="J44" s="7">
        <v>4.07</v>
      </c>
    </row>
    <row r="45" spans="1:10" ht="15.75" customHeight="1" x14ac:dyDescent="0.2">
      <c r="I45" s="6" t="s">
        <v>114</v>
      </c>
      <c r="J45" s="7">
        <v>4.22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124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125</v>
      </c>
    </row>
    <row r="4" spans="1:10" x14ac:dyDescent="0.2">
      <c r="A4" s="4" t="s">
        <v>4</v>
      </c>
      <c r="B4" s="24">
        <f>(3.41+1)/2</f>
        <v>2.2050000000000001</v>
      </c>
      <c r="C4" s="25">
        <v>2</v>
      </c>
      <c r="E4" s="4" t="s">
        <v>5</v>
      </c>
      <c r="F4" s="5">
        <f>(0+6.26)/2</f>
        <v>3.13</v>
      </c>
      <c r="G4" s="25">
        <v>2</v>
      </c>
      <c r="I4" s="6" t="s">
        <v>9</v>
      </c>
      <c r="J4" s="7">
        <v>5.94</v>
      </c>
    </row>
    <row r="5" spans="1:10" x14ac:dyDescent="0.2">
      <c r="A5" s="4" t="s">
        <v>7</v>
      </c>
      <c r="B5" s="9">
        <f>(6.91+3.64+6.38+8.86+2.8+5.13+8.92+6.03+9.68+8.12+2.18+6.46+5.62+3.81+8.18+6.26+0.39+5.56+4.25+3.86+5.12+4.39+4.36+3.44+4.7+5.78+4.71+4.51+5.21+6.96+5.47+5.88+5.54+4.83+4.63+5.42)/36</f>
        <v>5.3886111111111115</v>
      </c>
      <c r="C5" s="26">
        <v>36</v>
      </c>
      <c r="E5" s="4" t="s">
        <v>8</v>
      </c>
      <c r="F5" s="9">
        <f>(3.64+2.83+4.75+5.21+4.79)/5</f>
        <v>4.2439999999999998</v>
      </c>
      <c r="G5" s="26">
        <v>5</v>
      </c>
      <c r="I5" s="6" t="s">
        <v>12</v>
      </c>
      <c r="J5" s="7">
        <v>4.95</v>
      </c>
    </row>
    <row r="6" spans="1:10" x14ac:dyDescent="0.2">
      <c r="A6" s="4" t="s">
        <v>10</v>
      </c>
      <c r="B6" s="9">
        <f>(2.7+3.25)/2</f>
        <v>2.9750000000000001</v>
      </c>
      <c r="C6" s="26">
        <v>2</v>
      </c>
      <c r="E6" s="4" t="s">
        <v>11</v>
      </c>
      <c r="F6" s="9">
        <f>(5.12+7.54+5.33+4.6+4.22+7.14+5.85+5.8+3.25+6+5.56+5.84+4.62+6+5.46+4.57+5.46)/17</f>
        <v>5.4329411764705879</v>
      </c>
      <c r="G6" s="26">
        <v>17</v>
      </c>
      <c r="I6" s="6" t="s">
        <v>16</v>
      </c>
      <c r="J6" s="7">
        <v>5.31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5.93</v>
      </c>
      <c r="G7" s="25">
        <v>1</v>
      </c>
      <c r="I7" s="6" t="s">
        <v>19</v>
      </c>
      <c r="J7" s="7">
        <v>4.99</v>
      </c>
    </row>
    <row r="8" spans="1:10" x14ac:dyDescent="0.2">
      <c r="A8" s="4" t="s">
        <v>17</v>
      </c>
      <c r="B8" s="24">
        <f>(7.79+7.23+5.7+5.98)/4</f>
        <v>6.6749999999999998</v>
      </c>
      <c r="C8" s="25">
        <v>4</v>
      </c>
      <c r="E8" s="4" t="s">
        <v>18</v>
      </c>
      <c r="F8" s="5">
        <f>(4.6+4.53+4.91+3.76+4.37+4.14+0.59+6.3+3.18)/9</f>
        <v>4.0422222222222217</v>
      </c>
      <c r="G8" s="25">
        <v>9</v>
      </c>
      <c r="I8" s="6" t="s">
        <v>22</v>
      </c>
      <c r="J8" s="7">
        <v>5.3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(6.6+4.65+4.71+7.32)/4</f>
        <v>5.82</v>
      </c>
      <c r="G9" s="26">
        <v>4</v>
      </c>
      <c r="I9" s="6" t="s">
        <v>25</v>
      </c>
      <c r="J9" s="7">
        <v>5.1100000000000003</v>
      </c>
    </row>
    <row r="10" spans="1:10" x14ac:dyDescent="0.2">
      <c r="A10" s="4" t="s">
        <v>23</v>
      </c>
      <c r="B10" s="9">
        <v>4.43</v>
      </c>
      <c r="C10" s="26">
        <v>1</v>
      </c>
      <c r="E10" s="4" t="s">
        <v>24</v>
      </c>
      <c r="F10" s="9">
        <f>(5.37+5.42+2.99+1.83)/4</f>
        <v>3.9024999999999999</v>
      </c>
      <c r="G10" s="26">
        <v>4</v>
      </c>
      <c r="I10" s="6" t="s">
        <v>28</v>
      </c>
      <c r="J10" s="7">
        <v>4.33</v>
      </c>
    </row>
    <row r="11" spans="1:10" x14ac:dyDescent="0.2">
      <c r="A11" s="4" t="s">
        <v>26</v>
      </c>
      <c r="B11" s="24">
        <f>(5.54+2.58)/2</f>
        <v>4.0600000000000005</v>
      </c>
      <c r="C11" s="25">
        <v>2</v>
      </c>
      <c r="E11" s="4" t="s">
        <v>27</v>
      </c>
      <c r="F11" s="5">
        <f>(10.1+6.29+3.5+5.97+5.81+4.99+7.23+10.44)/8</f>
        <v>6.7912499999999998</v>
      </c>
      <c r="G11" s="25">
        <v>8</v>
      </c>
      <c r="I11" s="6" t="s">
        <v>32</v>
      </c>
      <c r="J11" s="7">
        <v>8.14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35</v>
      </c>
      <c r="J12" s="7">
        <v>5.07</v>
      </c>
    </row>
    <row r="13" spans="1:10" x14ac:dyDescent="0.2">
      <c r="A13" s="4" t="s">
        <v>33</v>
      </c>
      <c r="B13" s="9" t="s">
        <v>14</v>
      </c>
      <c r="C13" s="26">
        <v>0</v>
      </c>
      <c r="E13" s="4" t="s">
        <v>34</v>
      </c>
      <c r="F13" s="9" t="s">
        <v>14</v>
      </c>
      <c r="G13" s="26">
        <v>0</v>
      </c>
      <c r="I13" s="6" t="s">
        <v>38</v>
      </c>
      <c r="J13" s="7">
        <v>5.52</v>
      </c>
    </row>
    <row r="14" spans="1:10" x14ac:dyDescent="0.2">
      <c r="A14" s="4" t="s">
        <v>36</v>
      </c>
      <c r="B14" s="9">
        <v>5.3</v>
      </c>
      <c r="C14" s="26">
        <v>1</v>
      </c>
      <c r="E14" s="4" t="s">
        <v>37</v>
      </c>
      <c r="F14" s="9">
        <f>(7.76+6.82+4.92+4.36+5.35+3.88+7.81+6.01+14.15+12.4+5.89+8.64+8.74+10.41+6.89+12.26+7.85+6.33+8.98+7.23+6.59+0+9.52+0)/24</f>
        <v>7.1995833333333339</v>
      </c>
      <c r="G14" s="26">
        <v>24</v>
      </c>
      <c r="I14" s="6" t="s">
        <v>41</v>
      </c>
      <c r="J14" s="7">
        <v>5.0599999999999996</v>
      </c>
    </row>
    <row r="15" spans="1:10" x14ac:dyDescent="0.2">
      <c r="A15" s="4" t="s">
        <v>39</v>
      </c>
      <c r="B15" s="24">
        <v>5.99</v>
      </c>
      <c r="C15" s="25">
        <v>1</v>
      </c>
      <c r="E15" s="4" t="s">
        <v>40</v>
      </c>
      <c r="F15" s="5" t="s">
        <v>14</v>
      </c>
      <c r="G15" s="25">
        <v>0</v>
      </c>
      <c r="I15" s="6" t="s">
        <v>44</v>
      </c>
      <c r="J15" s="7">
        <v>6</v>
      </c>
    </row>
    <row r="16" spans="1:10" x14ac:dyDescent="0.2">
      <c r="A16" s="4" t="s">
        <v>42</v>
      </c>
      <c r="B16" s="24">
        <f>(5.23+5.64+10.96)/3</f>
        <v>7.2766666666666673</v>
      </c>
      <c r="C16" s="25">
        <v>3</v>
      </c>
      <c r="E16" s="4" t="s">
        <v>43</v>
      </c>
      <c r="F16" s="5">
        <v>4.54</v>
      </c>
      <c r="G16" s="25">
        <v>1</v>
      </c>
      <c r="I16" s="6" t="s">
        <v>47</v>
      </c>
      <c r="J16" s="7">
        <v>4.5599999999999996</v>
      </c>
    </row>
    <row r="17" spans="1:10" x14ac:dyDescent="0.2">
      <c r="A17" s="4" t="s">
        <v>45</v>
      </c>
      <c r="B17" s="9">
        <v>4.96</v>
      </c>
      <c r="C17" s="26">
        <v>1</v>
      </c>
      <c r="E17" s="4" t="s">
        <v>46</v>
      </c>
      <c r="F17" s="9">
        <f>(3.38+3.48+4.83+3.44+2.88+3.34+4.76+5.9+3.39+4.49)/10</f>
        <v>3.9889999999999999</v>
      </c>
      <c r="G17" s="26">
        <v>10</v>
      </c>
      <c r="I17" s="6" t="s">
        <v>50</v>
      </c>
      <c r="J17" s="7">
        <v>5.91</v>
      </c>
    </row>
    <row r="18" spans="1:10" x14ac:dyDescent="0.2">
      <c r="A18" s="4" t="s">
        <v>48</v>
      </c>
      <c r="B18" s="9" t="s">
        <v>14</v>
      </c>
      <c r="C18" s="26">
        <v>0</v>
      </c>
      <c r="E18" s="4" t="s">
        <v>49</v>
      </c>
      <c r="F18" s="9">
        <f>(9.41+9.83+6.28+7.37+9.72+10.77+4.73+7.26+9.11+4.58+1.37+7.5+8.8+6.79+9.69+4.92+9.41+6.11+9.44+10.17+4.23+6.95+5.31+6.96+7.57)/25</f>
        <v>7.3711999999999991</v>
      </c>
      <c r="G18" s="26">
        <v>25</v>
      </c>
      <c r="I18" s="6" t="s">
        <v>53</v>
      </c>
      <c r="J18" s="7">
        <v>6.23</v>
      </c>
    </row>
    <row r="19" spans="1:10" x14ac:dyDescent="0.2">
      <c r="A19" s="4" t="s">
        <v>51</v>
      </c>
      <c r="B19" s="24" t="s">
        <v>14</v>
      </c>
      <c r="C19" s="25">
        <v>0</v>
      </c>
      <c r="E19" s="4" t="s">
        <v>52</v>
      </c>
      <c r="F19" s="5">
        <f>(4.84+6.3+9.18+8.77)/4</f>
        <v>7.2725</v>
      </c>
      <c r="G19" s="25">
        <v>4</v>
      </c>
      <c r="I19" s="6" t="s">
        <v>56</v>
      </c>
      <c r="J19" s="7">
        <v>5.96</v>
      </c>
    </row>
    <row r="20" spans="1:10" x14ac:dyDescent="0.2">
      <c r="A20" s="4" t="s">
        <v>54</v>
      </c>
      <c r="B20" s="5">
        <f>(6.07+6.25+5.65+7.95+4.25+6.21)/6</f>
        <v>6.0633333333333326</v>
      </c>
      <c r="C20" s="25">
        <v>6</v>
      </c>
      <c r="E20" s="4" t="s">
        <v>55</v>
      </c>
      <c r="F20" s="5">
        <f>(9.57+5.77+6.69+5.6)/4</f>
        <v>6.9075000000000006</v>
      </c>
      <c r="G20" s="25">
        <v>4</v>
      </c>
      <c r="I20" s="6" t="s">
        <v>59</v>
      </c>
      <c r="J20" s="7">
        <v>5.15</v>
      </c>
    </row>
    <row r="21" spans="1:10" ht="15.75" customHeight="1" x14ac:dyDescent="0.2">
      <c r="A21" s="4" t="s">
        <v>57</v>
      </c>
      <c r="B21" s="9" t="s">
        <v>14</v>
      </c>
      <c r="C21" s="26">
        <v>0</v>
      </c>
      <c r="E21" s="4" t="s">
        <v>58</v>
      </c>
      <c r="F21" s="9">
        <f>(3.5+4.66+5.58+5.05+3.89+5.12+5.34)/7</f>
        <v>4.734285714285714</v>
      </c>
      <c r="G21" s="26">
        <v>7</v>
      </c>
      <c r="I21" s="6" t="s">
        <v>62</v>
      </c>
      <c r="J21" s="7">
        <v>6.51</v>
      </c>
    </row>
    <row r="22" spans="1:10" ht="15.75" customHeight="1" x14ac:dyDescent="0.2">
      <c r="A22" s="4" t="s">
        <v>60</v>
      </c>
      <c r="B22" s="9" t="s">
        <v>14</v>
      </c>
      <c r="C22" s="26">
        <v>0</v>
      </c>
      <c r="E22" s="4" t="s">
        <v>61</v>
      </c>
      <c r="F22" s="9" t="s">
        <v>14</v>
      </c>
      <c r="G22" s="26">
        <v>0</v>
      </c>
      <c r="I22" s="6" t="s">
        <v>65</v>
      </c>
      <c r="J22" s="7">
        <v>4.2</v>
      </c>
    </row>
    <row r="23" spans="1:10" ht="15.75" customHeight="1" x14ac:dyDescent="0.2">
      <c r="A23" s="4" t="s">
        <v>63</v>
      </c>
      <c r="B23" s="24">
        <v>5.49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5.8</v>
      </c>
    </row>
    <row r="24" spans="1:10" ht="15.75" customHeight="1" x14ac:dyDescent="0.2">
      <c r="A24" s="4" t="s">
        <v>66</v>
      </c>
      <c r="B24" s="24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5.79</v>
      </c>
    </row>
    <row r="25" spans="1:10" ht="15.75" customHeight="1" x14ac:dyDescent="0.2">
      <c r="A25" s="4" t="s">
        <v>69</v>
      </c>
      <c r="B25" s="9">
        <f>(9.18+6.75+10.41)/3</f>
        <v>8.7799999999999994</v>
      </c>
      <c r="C25" s="26">
        <v>3</v>
      </c>
      <c r="E25" s="4" t="s">
        <v>70</v>
      </c>
      <c r="F25" s="9">
        <f>(4.15+4.44)/2</f>
        <v>4.2949999999999999</v>
      </c>
      <c r="G25" s="26">
        <v>2</v>
      </c>
      <c r="I25" s="6" t="s">
        <v>74</v>
      </c>
      <c r="J25" s="7">
        <v>5.08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v>2.2599999999999998</v>
      </c>
      <c r="G26" s="26">
        <v>1</v>
      </c>
      <c r="I26" s="6" t="s">
        <v>77</v>
      </c>
      <c r="J26" s="7">
        <v>4.75</v>
      </c>
    </row>
    <row r="27" spans="1:10" ht="15.75" customHeight="1" x14ac:dyDescent="0.2">
      <c r="A27" s="4" t="s">
        <v>75</v>
      </c>
      <c r="B27" s="24">
        <v>6.1</v>
      </c>
      <c r="C27" s="25">
        <v>1</v>
      </c>
      <c r="E27" s="4" t="s">
        <v>76</v>
      </c>
      <c r="F27" s="5">
        <f>(8.9+5.96+5.93+5.92+6.47+8.34)/6</f>
        <v>6.919999999999999</v>
      </c>
      <c r="G27" s="25">
        <v>6</v>
      </c>
      <c r="I27" s="6" t="s">
        <v>80</v>
      </c>
      <c r="J27" s="7">
        <v>5.5</v>
      </c>
    </row>
    <row r="28" spans="1:10" ht="15.75" customHeight="1" x14ac:dyDescent="0.2">
      <c r="A28" s="4" t="s">
        <v>78</v>
      </c>
      <c r="B28" s="24">
        <f>(3.37+3.87+6.1+6.35+2.88+4.91+4.53)/7</f>
        <v>4.572857142857143</v>
      </c>
      <c r="C28" s="25">
        <v>7</v>
      </c>
      <c r="E28" s="4" t="s">
        <v>79</v>
      </c>
      <c r="F28" s="5">
        <f>(3.52+4.32+5.08+8.59+6.51+6.96+2.92+5.96+5.49+6.51+5.23+6.47+6.72+5.32+2.76+3.94)/16</f>
        <v>5.3937499999999998</v>
      </c>
      <c r="G28" s="25">
        <v>16</v>
      </c>
      <c r="I28" s="6" t="s">
        <v>83</v>
      </c>
      <c r="J28" s="7">
        <v>5.47</v>
      </c>
    </row>
    <row r="29" spans="1:10" ht="15.75" customHeight="1" x14ac:dyDescent="0.2">
      <c r="A29" s="4" t="s">
        <v>81</v>
      </c>
      <c r="B29" s="9">
        <f>(6.56+4.38+11.18+7.46)/4</f>
        <v>7.3949999999999996</v>
      </c>
      <c r="C29" s="26">
        <v>4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5.16</v>
      </c>
    </row>
    <row r="30" spans="1:10" ht="15.75" customHeight="1" x14ac:dyDescent="0.2">
      <c r="A30" s="4" t="s">
        <v>84</v>
      </c>
      <c r="B30" s="9">
        <f>(3.42+5.16)/2</f>
        <v>4.29</v>
      </c>
      <c r="C30" s="26">
        <v>2</v>
      </c>
      <c r="E30" s="4" t="s">
        <v>85</v>
      </c>
      <c r="F30" s="9">
        <f>(6.04+6.03)/2</f>
        <v>6.0350000000000001</v>
      </c>
      <c r="G30" s="26">
        <v>2</v>
      </c>
      <c r="I30" s="6" t="s">
        <v>89</v>
      </c>
      <c r="J30" s="7">
        <v>5.12</v>
      </c>
    </row>
    <row r="31" spans="1:10" ht="15.75" customHeight="1" x14ac:dyDescent="0.2">
      <c r="A31" s="4" t="s">
        <v>87</v>
      </c>
      <c r="B31" s="24">
        <f>(4.47+2.94+3.47)/3</f>
        <v>3.6266666666666669</v>
      </c>
      <c r="C31" s="25">
        <v>3</v>
      </c>
      <c r="E31" s="4" t="s">
        <v>88</v>
      </c>
      <c r="F31" s="5">
        <f>(4.45+5.56)/2</f>
        <v>5.0049999999999999</v>
      </c>
      <c r="G31" s="25">
        <v>2</v>
      </c>
      <c r="I31" s="6" t="s">
        <v>91</v>
      </c>
      <c r="J31" s="7">
        <v>5.43</v>
      </c>
    </row>
    <row r="32" spans="1:10" ht="15.75" customHeight="1" x14ac:dyDescent="0.2">
      <c r="A32" s="4" t="s">
        <v>65</v>
      </c>
      <c r="B32" s="24" t="s">
        <v>14</v>
      </c>
      <c r="C32" s="25">
        <v>0</v>
      </c>
      <c r="E32" s="4" t="s">
        <v>90</v>
      </c>
      <c r="F32" s="5">
        <f>(3.75+7.34+7.3+8.25+4.08+8.35+3.18)/7</f>
        <v>6.0357142857142856</v>
      </c>
      <c r="G32" s="25">
        <v>7</v>
      </c>
      <c r="I32" s="6" t="s">
        <v>94</v>
      </c>
      <c r="J32" s="7">
        <v>2.74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(5.08+5.09)/2</f>
        <v>5.085</v>
      </c>
      <c r="G33" s="26">
        <v>2</v>
      </c>
      <c r="I33" s="6" t="s">
        <v>97</v>
      </c>
      <c r="J33" s="7">
        <v>4.9400000000000004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6.53</v>
      </c>
      <c r="G34" s="26">
        <v>1</v>
      </c>
      <c r="I34" s="6" t="s">
        <v>100</v>
      </c>
      <c r="J34" s="7">
        <v>4.34</v>
      </c>
    </row>
    <row r="35" spans="1:10" ht="15.75" customHeight="1" x14ac:dyDescent="0.2">
      <c r="A35" s="4" t="s">
        <v>98</v>
      </c>
      <c r="B35" s="24" t="s">
        <v>14</v>
      </c>
      <c r="C35" s="25">
        <v>0</v>
      </c>
      <c r="E35" s="4" t="s">
        <v>99</v>
      </c>
      <c r="F35" s="5">
        <f>(10.38+9.11)/2</f>
        <v>9.745000000000001</v>
      </c>
      <c r="G35" s="25">
        <v>2</v>
      </c>
      <c r="I35" s="6" t="s">
        <v>103</v>
      </c>
      <c r="J35" s="7">
        <v>5.47</v>
      </c>
    </row>
    <row r="36" spans="1:10" ht="15.75" customHeight="1" x14ac:dyDescent="0.2">
      <c r="A36" s="4" t="s">
        <v>101</v>
      </c>
      <c r="B36" s="24" t="s">
        <v>14</v>
      </c>
      <c r="C36" s="25">
        <v>0</v>
      </c>
      <c r="E36" s="4" t="s">
        <v>102</v>
      </c>
      <c r="F36" s="5">
        <f>(4.51+8.82+7.82)/3</f>
        <v>7.05</v>
      </c>
      <c r="G36" s="25">
        <v>3</v>
      </c>
      <c r="I36" s="6" t="s">
        <v>105</v>
      </c>
      <c r="J36" s="7">
        <v>4.4400000000000004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4.8099999999999996</v>
      </c>
    </row>
    <row r="38" spans="1:10" ht="15.75" customHeight="1" x14ac:dyDescent="0.2">
      <c r="B38" s="14"/>
      <c r="C38" s="14"/>
      <c r="I38" s="6" t="s">
        <v>107</v>
      </c>
      <c r="J38" s="7">
        <v>5.65</v>
      </c>
    </row>
    <row r="39" spans="1:10" ht="15.75" customHeight="1" x14ac:dyDescent="0.2">
      <c r="I39" s="6" t="s">
        <v>108</v>
      </c>
      <c r="J39" s="7">
        <v>5.4</v>
      </c>
    </row>
    <row r="40" spans="1:10" ht="15.75" customHeight="1" x14ac:dyDescent="0.2">
      <c r="I40" s="6" t="s">
        <v>109</v>
      </c>
      <c r="J40" s="7">
        <v>4.8499999999999996</v>
      </c>
    </row>
    <row r="41" spans="1:10" ht="15.75" customHeight="1" x14ac:dyDescent="0.2">
      <c r="I41" s="6" t="s">
        <v>110</v>
      </c>
      <c r="J41" s="7">
        <v>5.32</v>
      </c>
    </row>
    <row r="42" spans="1:10" ht="15.75" customHeight="1" x14ac:dyDescent="0.2">
      <c r="I42" s="6" t="s">
        <v>111</v>
      </c>
      <c r="J42" s="7">
        <v>5.08</v>
      </c>
    </row>
    <row r="43" spans="1:10" ht="15.75" customHeight="1" x14ac:dyDescent="0.2">
      <c r="I43" s="6" t="s">
        <v>112</v>
      </c>
      <c r="J43" s="7">
        <v>4.5599999999999996</v>
      </c>
    </row>
    <row r="44" spans="1:10" ht="15.75" customHeight="1" x14ac:dyDescent="0.2">
      <c r="I44" s="6" t="s">
        <v>113</v>
      </c>
      <c r="J44" s="7">
        <v>5.17</v>
      </c>
    </row>
    <row r="45" spans="1:10" ht="15.75" customHeight="1" x14ac:dyDescent="0.2">
      <c r="I45" s="6" t="s">
        <v>114</v>
      </c>
      <c r="J45" s="7">
        <v>4.93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3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126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127</v>
      </c>
    </row>
    <row r="4" spans="1:10" x14ac:dyDescent="0.2">
      <c r="A4" s="4" t="s">
        <v>4</v>
      </c>
      <c r="B4" s="24">
        <f>(3.62+0.04/2)</f>
        <v>3.64</v>
      </c>
      <c r="C4" s="25">
        <v>2</v>
      </c>
      <c r="E4" s="4" t="s">
        <v>5</v>
      </c>
      <c r="F4" s="5">
        <f>(2.6+2.04)/2</f>
        <v>2.3200000000000003</v>
      </c>
      <c r="G4" s="25">
        <v>2</v>
      </c>
      <c r="I4" s="6" t="s">
        <v>9</v>
      </c>
      <c r="J4" s="7">
        <v>4.63</v>
      </c>
    </row>
    <row r="5" spans="1:10" x14ac:dyDescent="0.2">
      <c r="A5" s="4" t="s">
        <v>7</v>
      </c>
      <c r="B5" s="9">
        <f>(15.48+13.58+15.81+16.41+19.42+14.13+15.5+16.78+16.07+13.69+12.18+15.8+10.84+13.07+13.77+12.1+11.49+9.74+9.27+12.87+17.7+12.2+12.41+10.82+12.16+13.68+15.45+12.56+17.67+15.35+14.95+15.27+16.93+1.23)/34</f>
        <v>13.717058823529415</v>
      </c>
      <c r="C5" s="26">
        <v>34</v>
      </c>
      <c r="E5" s="4" t="s">
        <v>8</v>
      </c>
      <c r="F5" s="9">
        <f>(3.5+4.91+5.55+5.2+6.27+2.15)/6</f>
        <v>4.5966666666666667</v>
      </c>
      <c r="G5" s="26">
        <v>6</v>
      </c>
      <c r="I5" s="6" t="s">
        <v>12</v>
      </c>
      <c r="J5" s="7">
        <v>4.22</v>
      </c>
    </row>
    <row r="6" spans="1:10" x14ac:dyDescent="0.2">
      <c r="A6" s="4" t="s">
        <v>10</v>
      </c>
      <c r="B6" s="9">
        <v>7.17</v>
      </c>
      <c r="C6" s="26">
        <v>1</v>
      </c>
      <c r="E6" s="4" t="s">
        <v>11</v>
      </c>
      <c r="F6" s="9">
        <f>(2.96+5.31+3.79+2.75+3.6+3.19+5.46+3.48+2.92+4.57+0.45+3.99+1.76+3.86+2.86+5.11+2.01+3.59+5.65+5.2)/20</f>
        <v>3.6255000000000002</v>
      </c>
      <c r="G6" s="26">
        <v>20</v>
      </c>
      <c r="I6" s="6" t="s">
        <v>16</v>
      </c>
      <c r="J6" s="7">
        <v>4.5</v>
      </c>
    </row>
    <row r="7" spans="1:10" x14ac:dyDescent="0.2">
      <c r="A7" s="4" t="s">
        <v>13</v>
      </c>
      <c r="B7" s="24" t="s">
        <v>14</v>
      </c>
      <c r="C7" s="25">
        <v>0</v>
      </c>
      <c r="E7" s="4" t="s">
        <v>15</v>
      </c>
      <c r="F7" s="5">
        <v>7.83</v>
      </c>
      <c r="G7" s="25">
        <v>1</v>
      </c>
      <c r="I7" s="6" t="s">
        <v>19</v>
      </c>
      <c r="J7" s="7">
        <v>3.57</v>
      </c>
    </row>
    <row r="8" spans="1:10" x14ac:dyDescent="0.2">
      <c r="A8" s="4" t="s">
        <v>17</v>
      </c>
      <c r="B8" s="24">
        <f>(3.82+5.91+5.37+5.85)/4</f>
        <v>5.2375000000000007</v>
      </c>
      <c r="C8" s="25">
        <v>4</v>
      </c>
      <c r="E8" s="4" t="s">
        <v>18</v>
      </c>
      <c r="F8" s="5">
        <f>(2.45+6.93+4.28+1.44+1.7+4.27+6.6+5.95+2.99)/9</f>
        <v>4.0677777777777786</v>
      </c>
      <c r="G8" s="25">
        <v>9</v>
      </c>
      <c r="I8" s="6" t="s">
        <v>22</v>
      </c>
      <c r="J8" s="7">
        <v>5.65</v>
      </c>
    </row>
    <row r="9" spans="1:10" x14ac:dyDescent="0.2">
      <c r="A9" s="4" t="s">
        <v>20</v>
      </c>
      <c r="B9" s="9" t="s">
        <v>14</v>
      </c>
      <c r="C9" s="26">
        <v>0</v>
      </c>
      <c r="E9" s="4" t="s">
        <v>21</v>
      </c>
      <c r="F9" s="9">
        <f>(4.71+3.79+1.57+2+1.44)/5</f>
        <v>2.702</v>
      </c>
      <c r="G9" s="26">
        <v>5</v>
      </c>
      <c r="I9" s="6" t="s">
        <v>25</v>
      </c>
      <c r="J9" s="7">
        <v>4.47</v>
      </c>
    </row>
    <row r="10" spans="1:10" x14ac:dyDescent="0.2">
      <c r="A10" s="4" t="s">
        <v>23</v>
      </c>
      <c r="B10" s="9">
        <v>6.18</v>
      </c>
      <c r="C10" s="26">
        <v>1</v>
      </c>
      <c r="E10" s="4" t="s">
        <v>24</v>
      </c>
      <c r="F10" s="9">
        <f>(5.22+3.92+2.78+0.96+6.78+6.02)/6</f>
        <v>4.28</v>
      </c>
      <c r="G10" s="26">
        <v>6</v>
      </c>
      <c r="I10" s="6" t="s">
        <v>28</v>
      </c>
      <c r="J10" s="7">
        <v>3.39</v>
      </c>
    </row>
    <row r="11" spans="1:10" x14ac:dyDescent="0.2">
      <c r="A11" s="4" t="s">
        <v>26</v>
      </c>
      <c r="B11" s="24">
        <f>(4.56+4.25)/2</f>
        <v>4.4049999999999994</v>
      </c>
      <c r="C11" s="25">
        <v>2</v>
      </c>
      <c r="E11" s="4" t="s">
        <v>27</v>
      </c>
      <c r="F11" s="5">
        <f>(4.06+3.18+3.58+5.35+4.52+0+2.91+3.79+4.39+6.52)/10</f>
        <v>3.8299999999999996</v>
      </c>
      <c r="G11" s="25">
        <v>10</v>
      </c>
      <c r="I11" s="6" t="s">
        <v>32</v>
      </c>
      <c r="J11" s="7">
        <v>6.44</v>
      </c>
    </row>
    <row r="12" spans="1:10" x14ac:dyDescent="0.2">
      <c r="A12" s="4" t="s">
        <v>29</v>
      </c>
      <c r="B12" s="24" t="s">
        <v>14</v>
      </c>
      <c r="C12" s="25">
        <v>0</v>
      </c>
      <c r="E12" s="4" t="s">
        <v>30</v>
      </c>
      <c r="F12" s="5" t="s">
        <v>14</v>
      </c>
      <c r="G12" s="25">
        <v>0</v>
      </c>
      <c r="I12" s="6" t="s">
        <v>35</v>
      </c>
      <c r="J12" s="7">
        <v>3.72</v>
      </c>
    </row>
    <row r="13" spans="1:10" x14ac:dyDescent="0.2">
      <c r="A13" s="4" t="s">
        <v>33</v>
      </c>
      <c r="B13" s="9" t="s">
        <v>14</v>
      </c>
      <c r="C13" s="26">
        <v>0</v>
      </c>
      <c r="E13" s="4" t="s">
        <v>34</v>
      </c>
      <c r="F13" s="9" t="s">
        <v>14</v>
      </c>
      <c r="G13" s="26">
        <v>0</v>
      </c>
      <c r="I13" s="6" t="s">
        <v>38</v>
      </c>
      <c r="J13" s="7">
        <v>4.16</v>
      </c>
    </row>
    <row r="14" spans="1:10" x14ac:dyDescent="0.2">
      <c r="A14" s="4" t="s">
        <v>36</v>
      </c>
      <c r="B14" s="9">
        <v>5.78</v>
      </c>
      <c r="C14" s="26">
        <v>1</v>
      </c>
      <c r="E14" s="4" t="s">
        <v>37</v>
      </c>
      <c r="F14" s="9">
        <f>(3.06+4.88+3.5+3.28+5.21+13.02+2.95+4.98+3.96+4.15+6.04+4.18+6.87+3.6+6.23+4.21+4.46+3.34+5.65+2.45+4.81+4.47)/22</f>
        <v>4.786363636363637</v>
      </c>
      <c r="G14" s="26">
        <v>22</v>
      </c>
      <c r="I14" s="6" t="s">
        <v>41</v>
      </c>
      <c r="J14" s="7">
        <v>5.0199999999999996</v>
      </c>
    </row>
    <row r="15" spans="1:10" x14ac:dyDescent="0.2">
      <c r="A15" s="4" t="s">
        <v>39</v>
      </c>
      <c r="B15" s="24">
        <v>7.84</v>
      </c>
      <c r="C15" s="25">
        <v>1</v>
      </c>
      <c r="E15" s="4" t="s">
        <v>40</v>
      </c>
      <c r="F15" s="5" t="s">
        <v>14</v>
      </c>
      <c r="G15" s="25">
        <v>0</v>
      </c>
      <c r="I15" s="6" t="s">
        <v>44</v>
      </c>
      <c r="J15" s="7">
        <v>4.6900000000000004</v>
      </c>
    </row>
    <row r="16" spans="1:10" x14ac:dyDescent="0.2">
      <c r="A16" s="4" t="s">
        <v>42</v>
      </c>
      <c r="B16" s="24">
        <f>(11.55+9.59+9.01)/3</f>
        <v>10.049999999999999</v>
      </c>
      <c r="C16" s="25">
        <v>3</v>
      </c>
      <c r="E16" s="4" t="s">
        <v>43</v>
      </c>
      <c r="F16" s="5">
        <v>4.9800000000000004</v>
      </c>
      <c r="G16" s="25">
        <v>1</v>
      </c>
      <c r="I16" s="6" t="s">
        <v>47</v>
      </c>
      <c r="J16" s="7">
        <v>4.09</v>
      </c>
    </row>
    <row r="17" spans="1:10" x14ac:dyDescent="0.2">
      <c r="A17" s="4" t="s">
        <v>45</v>
      </c>
      <c r="B17" s="9">
        <v>3.16</v>
      </c>
      <c r="C17" s="26">
        <v>1</v>
      </c>
      <c r="E17" s="4" t="s">
        <v>46</v>
      </c>
      <c r="F17" s="9">
        <f>(8.55+6.75+8.31+1.09+7.42+4.77+6.98+3.98+5.38+3.5)/10</f>
        <v>5.673</v>
      </c>
      <c r="G17" s="26">
        <v>10</v>
      </c>
      <c r="I17" s="6" t="s">
        <v>50</v>
      </c>
      <c r="J17" s="7">
        <v>4.0999999999999996</v>
      </c>
    </row>
    <row r="18" spans="1:10" x14ac:dyDescent="0.2">
      <c r="A18" s="4" t="s">
        <v>48</v>
      </c>
      <c r="B18" s="9" t="s">
        <v>14</v>
      </c>
      <c r="C18" s="26">
        <v>0</v>
      </c>
      <c r="E18" s="4" t="s">
        <v>49</v>
      </c>
      <c r="F18" s="9">
        <f>(15.31+11.87+15.11+13.31+14.56+10.14+15.78+12.3+14.3+15.26+14.36+9.18+16.67+16.34+15.03+13.22+15.65+12.17+11.74+9.04+19.88+12.84+10.08)/23</f>
        <v>13.658260869565217</v>
      </c>
      <c r="G18" s="26">
        <v>23</v>
      </c>
      <c r="I18" s="6" t="s">
        <v>53</v>
      </c>
      <c r="J18" s="7">
        <v>7.19</v>
      </c>
    </row>
    <row r="19" spans="1:10" x14ac:dyDescent="0.2">
      <c r="A19" s="4" t="s">
        <v>51</v>
      </c>
      <c r="B19" s="24" t="s">
        <v>14</v>
      </c>
      <c r="C19" s="25">
        <v>0</v>
      </c>
      <c r="E19" s="4" t="s">
        <v>52</v>
      </c>
      <c r="F19" s="5">
        <f>(9.67+12.25+10.57)/3</f>
        <v>10.83</v>
      </c>
      <c r="G19" s="25">
        <v>3</v>
      </c>
      <c r="I19" s="6" t="s">
        <v>56</v>
      </c>
      <c r="J19" s="7">
        <v>4.49</v>
      </c>
    </row>
    <row r="20" spans="1:10" x14ac:dyDescent="0.2">
      <c r="A20" s="4" t="s">
        <v>54</v>
      </c>
      <c r="B20" s="24">
        <f>(5.66+2.58+4.74+3.37+3.56+3.5)/6</f>
        <v>3.9016666666666668</v>
      </c>
      <c r="C20" s="25">
        <v>6</v>
      </c>
      <c r="E20" s="4" t="s">
        <v>55</v>
      </c>
      <c r="F20" s="5">
        <f>(8.6+12.89+6.67+14.14)/4</f>
        <v>10.575000000000001</v>
      </c>
      <c r="G20" s="25">
        <v>4</v>
      </c>
      <c r="I20" s="6" t="s">
        <v>59</v>
      </c>
      <c r="J20" s="7">
        <v>3.57</v>
      </c>
    </row>
    <row r="21" spans="1:10" ht="15.75" customHeight="1" x14ac:dyDescent="0.2">
      <c r="A21" s="4" t="s">
        <v>57</v>
      </c>
      <c r="B21" s="9" t="s">
        <v>14</v>
      </c>
      <c r="C21" s="26">
        <v>0</v>
      </c>
      <c r="E21" s="4" t="s">
        <v>58</v>
      </c>
      <c r="F21" s="9">
        <f>(6.61+4+2.13+4.48+2.41+4.28+1.27)/7</f>
        <v>3.597142857142857</v>
      </c>
      <c r="G21" s="26">
        <v>7</v>
      </c>
      <c r="I21" s="6" t="s">
        <v>62</v>
      </c>
      <c r="J21" s="7">
        <v>5.07</v>
      </c>
    </row>
    <row r="22" spans="1:10" ht="15.75" customHeight="1" x14ac:dyDescent="0.2">
      <c r="A22" s="4" t="s">
        <v>60</v>
      </c>
      <c r="B22" s="9" t="s">
        <v>14</v>
      </c>
      <c r="C22" s="26">
        <v>0</v>
      </c>
      <c r="E22" s="4" t="s">
        <v>61</v>
      </c>
      <c r="F22" s="9" t="s">
        <v>14</v>
      </c>
      <c r="G22" s="26">
        <v>0</v>
      </c>
      <c r="I22" s="6" t="s">
        <v>65</v>
      </c>
      <c r="J22" s="7">
        <v>3.84</v>
      </c>
    </row>
    <row r="23" spans="1:10" ht="15.75" customHeight="1" x14ac:dyDescent="0.2">
      <c r="A23" s="4" t="s">
        <v>63</v>
      </c>
      <c r="B23" s="24">
        <v>7.67</v>
      </c>
      <c r="C23" s="25">
        <v>1</v>
      </c>
      <c r="E23" s="4" t="s">
        <v>64</v>
      </c>
      <c r="F23" s="5" t="s">
        <v>14</v>
      </c>
      <c r="G23" s="25">
        <v>0</v>
      </c>
      <c r="I23" s="6" t="s">
        <v>68</v>
      </c>
      <c r="J23" s="7">
        <v>5.03</v>
      </c>
    </row>
    <row r="24" spans="1:10" ht="15.75" customHeight="1" x14ac:dyDescent="0.2">
      <c r="A24" s="4" t="s">
        <v>66</v>
      </c>
      <c r="B24" s="24" t="s">
        <v>14</v>
      </c>
      <c r="C24" s="25">
        <v>0</v>
      </c>
      <c r="E24" s="4" t="s">
        <v>67</v>
      </c>
      <c r="F24" s="5" t="s">
        <v>14</v>
      </c>
      <c r="G24" s="25">
        <v>0</v>
      </c>
      <c r="I24" s="6" t="s">
        <v>71</v>
      </c>
      <c r="J24" s="7">
        <v>4.76</v>
      </c>
    </row>
    <row r="25" spans="1:10" ht="15.75" customHeight="1" x14ac:dyDescent="0.2">
      <c r="A25" s="4" t="s">
        <v>69</v>
      </c>
      <c r="B25" s="9">
        <f>(7.33+7.52+5.08)/3</f>
        <v>6.6433333333333335</v>
      </c>
      <c r="C25" s="26">
        <v>3</v>
      </c>
      <c r="E25" s="4" t="s">
        <v>70</v>
      </c>
      <c r="F25" s="9">
        <v>5.95</v>
      </c>
      <c r="G25" s="26">
        <v>1</v>
      </c>
      <c r="I25" s="6" t="s">
        <v>74</v>
      </c>
      <c r="J25" s="7">
        <v>4.3499999999999996</v>
      </c>
    </row>
    <row r="26" spans="1:10" ht="15.75" customHeight="1" x14ac:dyDescent="0.2">
      <c r="A26" s="4" t="s">
        <v>72</v>
      </c>
      <c r="B26" s="9" t="s">
        <v>14</v>
      </c>
      <c r="C26" s="26">
        <v>0</v>
      </c>
      <c r="E26" s="4" t="s">
        <v>73</v>
      </c>
      <c r="F26" s="9">
        <f>(7.82+5.18)/2</f>
        <v>6.5</v>
      </c>
      <c r="G26" s="26">
        <v>2</v>
      </c>
      <c r="I26" s="6" t="s">
        <v>77</v>
      </c>
      <c r="J26" s="7">
        <v>4.01</v>
      </c>
    </row>
    <row r="27" spans="1:10" ht="15.75" customHeight="1" x14ac:dyDescent="0.2">
      <c r="A27" s="4" t="s">
        <v>75</v>
      </c>
      <c r="B27" s="24">
        <v>7.14</v>
      </c>
      <c r="C27" s="25">
        <v>1</v>
      </c>
      <c r="E27" s="4" t="s">
        <v>76</v>
      </c>
      <c r="F27" s="5">
        <f>(1.49+3.82+3.53+3.03+3.42+2.42)/6</f>
        <v>2.9516666666666667</v>
      </c>
      <c r="G27" s="25">
        <v>6</v>
      </c>
      <c r="I27" s="6" t="s">
        <v>80</v>
      </c>
      <c r="J27" s="7">
        <v>3.55</v>
      </c>
    </row>
    <row r="28" spans="1:10" ht="15.75" customHeight="1" x14ac:dyDescent="0.2">
      <c r="A28" s="4" t="s">
        <v>78</v>
      </c>
      <c r="B28" s="24">
        <f>(3.07+4.86+4.53+3.23+4.71+5.56+5.73)/7</f>
        <v>4.5271428571428576</v>
      </c>
      <c r="C28" s="25">
        <v>7</v>
      </c>
      <c r="E28" s="4" t="s">
        <v>79</v>
      </c>
      <c r="F28" s="5">
        <f>(2.37+1.8+1.87+4.82+2.76+5.87+3.94+3.84+2.26+4.87+3.78+4.93+1.53+2.89+0.02+1.35)/16</f>
        <v>3.0562500000000004</v>
      </c>
      <c r="G28" s="25">
        <v>16</v>
      </c>
      <c r="I28" s="6" t="s">
        <v>83</v>
      </c>
      <c r="J28" s="7">
        <v>3.37</v>
      </c>
    </row>
    <row r="29" spans="1:10" ht="15.75" customHeight="1" x14ac:dyDescent="0.2">
      <c r="A29" s="4" t="s">
        <v>81</v>
      </c>
      <c r="B29" s="9">
        <f>(5.46+5.25+4.05+6.08+4.3)/5</f>
        <v>5.0280000000000005</v>
      </c>
      <c r="C29" s="26">
        <v>5</v>
      </c>
      <c r="E29" s="4" t="s">
        <v>82</v>
      </c>
      <c r="F29" s="9" t="s">
        <v>14</v>
      </c>
      <c r="G29" s="26">
        <v>0</v>
      </c>
      <c r="I29" s="6" t="s">
        <v>86</v>
      </c>
      <c r="J29" s="7">
        <v>3.33</v>
      </c>
    </row>
    <row r="30" spans="1:10" ht="15.75" customHeight="1" x14ac:dyDescent="0.2">
      <c r="A30" s="4" t="s">
        <v>84</v>
      </c>
      <c r="B30" s="9">
        <f>(9.43+11.48)/2</f>
        <v>10.455</v>
      </c>
      <c r="C30" s="26">
        <v>2</v>
      </c>
      <c r="E30" s="4" t="s">
        <v>85</v>
      </c>
      <c r="F30" s="9">
        <f>(1.95+1.52)/2</f>
        <v>1.7349999999999999</v>
      </c>
      <c r="G30" s="26">
        <v>2</v>
      </c>
      <c r="I30" s="6" t="s">
        <v>89</v>
      </c>
      <c r="J30" s="7">
        <v>4.2</v>
      </c>
    </row>
    <row r="31" spans="1:10" ht="15.75" customHeight="1" x14ac:dyDescent="0.2">
      <c r="A31" s="4" t="s">
        <v>87</v>
      </c>
      <c r="B31" s="24">
        <f>(2.56+3.41)/2</f>
        <v>2.9850000000000003</v>
      </c>
      <c r="C31" s="25">
        <v>2</v>
      </c>
      <c r="E31" s="4" t="s">
        <v>88</v>
      </c>
      <c r="F31" s="5">
        <v>4.47</v>
      </c>
      <c r="G31" s="25">
        <v>1</v>
      </c>
      <c r="I31" s="6" t="s">
        <v>91</v>
      </c>
      <c r="J31" s="7">
        <v>4.51</v>
      </c>
    </row>
    <row r="32" spans="1:10" ht="15.75" customHeight="1" x14ac:dyDescent="0.2">
      <c r="A32" s="4" t="s">
        <v>65</v>
      </c>
      <c r="B32" s="24">
        <v>5.04</v>
      </c>
      <c r="C32" s="25">
        <v>1</v>
      </c>
      <c r="E32" s="4" t="s">
        <v>90</v>
      </c>
      <c r="F32" s="5">
        <f>(4.59+5.14+5.64+7.45+9.5)/5</f>
        <v>6.4640000000000004</v>
      </c>
      <c r="G32" s="25">
        <v>5</v>
      </c>
      <c r="I32" s="6" t="s">
        <v>94</v>
      </c>
      <c r="J32" s="7">
        <v>6.86</v>
      </c>
    </row>
    <row r="33" spans="1:10" ht="15.75" customHeight="1" x14ac:dyDescent="0.2">
      <c r="A33" s="4" t="s">
        <v>92</v>
      </c>
      <c r="B33" s="9" t="s">
        <v>14</v>
      </c>
      <c r="C33" s="26">
        <v>0</v>
      </c>
      <c r="E33" s="4" t="s">
        <v>93</v>
      </c>
      <c r="F33" s="9">
        <f>(6.61+5.65)/2</f>
        <v>6.1300000000000008</v>
      </c>
      <c r="G33" s="26">
        <v>2</v>
      </c>
      <c r="I33" s="6" t="s">
        <v>97</v>
      </c>
      <c r="J33" s="7">
        <v>4.12</v>
      </c>
    </row>
    <row r="34" spans="1:10" ht="15.75" customHeight="1" x14ac:dyDescent="0.2">
      <c r="A34" s="4" t="s">
        <v>95</v>
      </c>
      <c r="B34" s="9" t="s">
        <v>14</v>
      </c>
      <c r="C34" s="26">
        <v>0</v>
      </c>
      <c r="E34" s="4" t="s">
        <v>96</v>
      </c>
      <c r="F34" s="9">
        <v>11.55</v>
      </c>
      <c r="G34" s="26">
        <v>1</v>
      </c>
      <c r="I34" s="6" t="s">
        <v>100</v>
      </c>
      <c r="J34" s="7">
        <v>3.66</v>
      </c>
    </row>
    <row r="35" spans="1:10" ht="15.75" customHeight="1" x14ac:dyDescent="0.2">
      <c r="A35" s="4" t="s">
        <v>98</v>
      </c>
      <c r="B35" s="24" t="s">
        <v>14</v>
      </c>
      <c r="C35" s="25">
        <v>0</v>
      </c>
      <c r="E35" s="4" t="s">
        <v>99</v>
      </c>
      <c r="F35" s="5">
        <f>(10.7+9.74)/2</f>
        <v>10.219999999999999</v>
      </c>
      <c r="G35" s="25">
        <v>2</v>
      </c>
      <c r="I35" s="6" t="s">
        <v>103</v>
      </c>
      <c r="J35" s="7">
        <v>3.31</v>
      </c>
    </row>
    <row r="36" spans="1:10" ht="15.75" customHeight="1" x14ac:dyDescent="0.2">
      <c r="A36" s="4" t="s">
        <v>101</v>
      </c>
      <c r="B36" s="24" t="s">
        <v>14</v>
      </c>
      <c r="C36" s="25">
        <v>0</v>
      </c>
      <c r="E36" s="4" t="s">
        <v>102</v>
      </c>
      <c r="F36" s="5">
        <f>(2.75+4.54+3.25)/3</f>
        <v>3.5133333333333332</v>
      </c>
      <c r="G36" s="25">
        <v>3</v>
      </c>
      <c r="I36" s="6" t="s">
        <v>105</v>
      </c>
      <c r="J36" s="7">
        <v>3.56</v>
      </c>
    </row>
    <row r="37" spans="1:10" ht="15.75" customHeight="1" x14ac:dyDescent="0.2">
      <c r="A37" s="4" t="s">
        <v>104</v>
      </c>
      <c r="B37" s="9" t="s">
        <v>14</v>
      </c>
      <c r="C37" s="26">
        <v>0</v>
      </c>
      <c r="I37" s="6" t="s">
        <v>106</v>
      </c>
      <c r="J37" s="7">
        <v>4.45</v>
      </c>
    </row>
    <row r="38" spans="1:10" ht="15.75" customHeight="1" x14ac:dyDescent="0.2">
      <c r="I38" s="6" t="s">
        <v>107</v>
      </c>
      <c r="J38" s="7">
        <v>3.85</v>
      </c>
    </row>
    <row r="39" spans="1:10" ht="15.75" customHeight="1" x14ac:dyDescent="0.2">
      <c r="I39" s="6" t="s">
        <v>108</v>
      </c>
      <c r="J39" s="7">
        <v>4.9000000000000004</v>
      </c>
    </row>
    <row r="40" spans="1:10" ht="15.75" customHeight="1" x14ac:dyDescent="0.2">
      <c r="I40" s="6" t="s">
        <v>109</v>
      </c>
      <c r="J40" s="7">
        <v>3.79</v>
      </c>
    </row>
    <row r="41" spans="1:10" ht="15.75" customHeight="1" x14ac:dyDescent="0.2">
      <c r="I41" s="6" t="s">
        <v>110</v>
      </c>
      <c r="J41" s="7">
        <v>4.4800000000000004</v>
      </c>
    </row>
    <row r="42" spans="1:10" ht="15.75" customHeight="1" x14ac:dyDescent="0.2">
      <c r="I42" s="6" t="s">
        <v>111</v>
      </c>
      <c r="J42" s="7">
        <v>4.59</v>
      </c>
    </row>
    <row r="43" spans="1:10" ht="15.75" customHeight="1" x14ac:dyDescent="0.2">
      <c r="I43" s="6" t="s">
        <v>112</v>
      </c>
      <c r="J43" s="7">
        <v>2.78</v>
      </c>
    </row>
    <row r="44" spans="1:10" ht="15.75" customHeight="1" x14ac:dyDescent="0.2">
      <c r="I44" s="6" t="s">
        <v>113</v>
      </c>
      <c r="J44" s="7">
        <v>4.0199999999999996</v>
      </c>
    </row>
    <row r="45" spans="1:10" ht="15.75" customHeight="1" x14ac:dyDescent="0.2">
      <c r="I45" s="6" t="s">
        <v>114</v>
      </c>
      <c r="J45" s="7">
        <v>4.3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1000"/>
  <sheetViews>
    <sheetView workbookViewId="0"/>
  </sheetViews>
  <sheetFormatPr baseColWidth="10" defaultColWidth="14.5" defaultRowHeight="15" customHeight="1" x14ac:dyDescent="0.2"/>
  <cols>
    <col min="1" max="1" width="13.5" customWidth="1"/>
    <col min="2" max="2" width="17" customWidth="1"/>
    <col min="3" max="3" width="13.83203125" customWidth="1"/>
    <col min="4" max="4" width="8.6640625" customWidth="1"/>
    <col min="5" max="5" width="13" customWidth="1"/>
    <col min="6" max="6" width="17.33203125" customWidth="1"/>
    <col min="7" max="7" width="12.5" customWidth="1"/>
    <col min="8" max="8" width="17" customWidth="1"/>
    <col min="9" max="9" width="17.5" customWidth="1"/>
    <col min="10" max="26" width="8.6640625" customWidth="1"/>
  </cols>
  <sheetData>
    <row r="1" spans="1:10" x14ac:dyDescent="0.2">
      <c r="A1" s="30" t="s">
        <v>0</v>
      </c>
      <c r="B1" s="31"/>
      <c r="C1" s="31"/>
      <c r="D1" s="31"/>
      <c r="E1" s="31"/>
      <c r="F1" s="31"/>
      <c r="G1" s="31"/>
      <c r="H1" s="31"/>
    </row>
    <row r="2" spans="1:10" x14ac:dyDescent="0.2">
      <c r="A2" s="32" t="s">
        <v>128</v>
      </c>
      <c r="B2" s="31"/>
      <c r="C2" s="31"/>
      <c r="D2" s="31"/>
      <c r="E2" s="31"/>
      <c r="F2" s="31"/>
      <c r="G2" s="31"/>
      <c r="H2" s="31"/>
    </row>
    <row r="3" spans="1:10" ht="32" x14ac:dyDescent="0.2">
      <c r="B3" s="3" t="s">
        <v>2</v>
      </c>
      <c r="C3" s="1" t="s">
        <v>3</v>
      </c>
      <c r="F3" s="3" t="s">
        <v>2</v>
      </c>
      <c r="G3" s="1" t="s">
        <v>3</v>
      </c>
      <c r="I3" s="8" t="s">
        <v>129</v>
      </c>
    </row>
    <row r="4" spans="1:10" x14ac:dyDescent="0.2">
      <c r="A4" s="4" t="s">
        <v>4</v>
      </c>
      <c r="B4" s="24">
        <f>(0.27+1.05)/2</f>
        <v>0.66</v>
      </c>
      <c r="C4" s="6">
        <v>2</v>
      </c>
      <c r="E4" s="4" t="s">
        <v>5</v>
      </c>
      <c r="F4" s="5">
        <f>(0.79+2.98)/2</f>
        <v>1.885</v>
      </c>
      <c r="G4" s="6">
        <v>2</v>
      </c>
      <c r="I4" s="6" t="s">
        <v>9</v>
      </c>
      <c r="J4" s="7">
        <v>3.53</v>
      </c>
    </row>
    <row r="5" spans="1:10" x14ac:dyDescent="0.2">
      <c r="A5" s="4" t="s">
        <v>7</v>
      </c>
      <c r="B5" s="27">
        <f>(0.26+0.54+3.71+0.37+0.68+4.31+0.49+0.2+0.47+0.5+0.43+1.25+0.4+0.32+0.15+0.61+0.57+0.73+0.87+1.71+0.22+2.72+2.35+3.37+1.75+0.47+1.5+0.63+3.23+1.74+2.94+0.28+0.51+1.41+0.57+0.25)/36</f>
        <v>1.1808333333333332</v>
      </c>
      <c r="C5" s="28">
        <v>36</v>
      </c>
      <c r="E5" s="4" t="s">
        <v>8</v>
      </c>
      <c r="F5" s="27">
        <f>(2.56+4.17+3.09+3.11+3.1+0.03)/6</f>
        <v>2.6766666666666672</v>
      </c>
      <c r="G5" s="28">
        <v>6</v>
      </c>
      <c r="I5" s="6" t="s">
        <v>12</v>
      </c>
      <c r="J5" s="7">
        <v>3.47</v>
      </c>
    </row>
    <row r="6" spans="1:10" x14ac:dyDescent="0.2">
      <c r="A6" s="4" t="s">
        <v>10</v>
      </c>
      <c r="B6" s="27">
        <v>0.96</v>
      </c>
      <c r="C6" s="28">
        <v>1</v>
      </c>
      <c r="E6" s="4" t="s">
        <v>11</v>
      </c>
      <c r="F6" s="27">
        <f>(3+1.44+1.82+3.15+1.83+1.62+2.86+3.01+1.67+0+1.82+3.37+2.27+4.95+2.58+0.47+2.88+2.06+1.48)/19</f>
        <v>2.2252631578947368</v>
      </c>
      <c r="G6" s="28">
        <v>19</v>
      </c>
      <c r="I6" s="6" t="s">
        <v>16</v>
      </c>
      <c r="J6" s="7">
        <v>4.0999999999999996</v>
      </c>
    </row>
    <row r="7" spans="1:10" x14ac:dyDescent="0.2">
      <c r="A7" s="4" t="s">
        <v>13</v>
      </c>
      <c r="B7" s="24" t="s">
        <v>14</v>
      </c>
      <c r="C7" s="6">
        <v>0</v>
      </c>
      <c r="E7" s="4" t="s">
        <v>15</v>
      </c>
      <c r="F7" s="5">
        <v>4.0599999999999996</v>
      </c>
      <c r="G7" s="6">
        <v>1</v>
      </c>
      <c r="I7" s="6" t="s">
        <v>19</v>
      </c>
      <c r="J7" s="7">
        <v>3.76</v>
      </c>
    </row>
    <row r="8" spans="1:10" x14ac:dyDescent="0.2">
      <c r="A8" s="4" t="s">
        <v>17</v>
      </c>
      <c r="B8" s="24">
        <f>(2.45+2.08+1+2.97)/4</f>
        <v>2.125</v>
      </c>
      <c r="C8" s="6">
        <v>4</v>
      </c>
      <c r="E8" s="4" t="s">
        <v>18</v>
      </c>
      <c r="F8" s="5">
        <f>(2.13+2.64+3.29+1.88+2.22+0.76+3.01+6.79+0.66)/9</f>
        <v>2.5977777777777775</v>
      </c>
      <c r="G8" s="6">
        <v>9</v>
      </c>
      <c r="I8" s="6" t="s">
        <v>22</v>
      </c>
      <c r="J8" s="7">
        <v>4.62</v>
      </c>
    </row>
    <row r="9" spans="1:10" x14ac:dyDescent="0.2">
      <c r="A9" s="4" t="s">
        <v>20</v>
      </c>
      <c r="B9" s="27" t="s">
        <v>14</v>
      </c>
      <c r="C9" s="28">
        <v>0</v>
      </c>
      <c r="E9" s="4" t="s">
        <v>21</v>
      </c>
      <c r="F9" s="27">
        <f>(3.62+2.98+3.16+3.02)/4</f>
        <v>3.1949999999999998</v>
      </c>
      <c r="G9" s="28">
        <v>4</v>
      </c>
      <c r="I9" s="6" t="s">
        <v>25</v>
      </c>
      <c r="J9" s="7">
        <v>3.73</v>
      </c>
    </row>
    <row r="10" spans="1:10" x14ac:dyDescent="0.2">
      <c r="A10" s="4" t="s">
        <v>23</v>
      </c>
      <c r="B10" s="27" t="s">
        <v>14</v>
      </c>
      <c r="C10" s="28">
        <v>0</v>
      </c>
      <c r="E10" s="4" t="s">
        <v>24</v>
      </c>
      <c r="F10" s="27">
        <f>(0+1.89+1.28+2.63+0.89)/5</f>
        <v>1.3379999999999999</v>
      </c>
      <c r="G10" s="28">
        <v>5</v>
      </c>
      <c r="I10" s="6" t="s">
        <v>28</v>
      </c>
      <c r="J10" s="7">
        <v>4.09</v>
      </c>
    </row>
    <row r="11" spans="1:10" x14ac:dyDescent="0.2">
      <c r="A11" s="4" t="s">
        <v>26</v>
      </c>
      <c r="B11" s="24">
        <f>(3.79+3.28)/2</f>
        <v>3.5350000000000001</v>
      </c>
      <c r="C11" s="6">
        <v>2</v>
      </c>
      <c r="E11" s="4" t="s">
        <v>27</v>
      </c>
      <c r="F11" s="5">
        <f>(4.74+2.32+2.65+3.6+3.68+2.24+3.97+2.7+5.23+4.1)/10</f>
        <v>3.5230000000000006</v>
      </c>
      <c r="G11" s="6">
        <v>10</v>
      </c>
      <c r="I11" s="6" t="s">
        <v>32</v>
      </c>
      <c r="J11" s="7">
        <v>5.82</v>
      </c>
    </row>
    <row r="12" spans="1:10" x14ac:dyDescent="0.2">
      <c r="A12" s="4" t="s">
        <v>29</v>
      </c>
      <c r="B12" s="24" t="s">
        <v>14</v>
      </c>
      <c r="C12" s="6">
        <v>0</v>
      </c>
      <c r="E12" s="4" t="s">
        <v>30</v>
      </c>
      <c r="F12" s="5" t="s">
        <v>14</v>
      </c>
      <c r="G12" s="6">
        <v>0</v>
      </c>
      <c r="I12" s="6" t="s">
        <v>35</v>
      </c>
      <c r="J12" s="7">
        <v>3.85</v>
      </c>
    </row>
    <row r="13" spans="1:10" x14ac:dyDescent="0.2">
      <c r="A13" s="4" t="s">
        <v>33</v>
      </c>
      <c r="B13" s="27" t="s">
        <v>14</v>
      </c>
      <c r="C13" s="28">
        <v>0</v>
      </c>
      <c r="E13" s="4" t="s">
        <v>34</v>
      </c>
      <c r="F13" s="27" t="s">
        <v>14</v>
      </c>
      <c r="G13" s="28">
        <v>0</v>
      </c>
      <c r="I13" s="6" t="s">
        <v>38</v>
      </c>
      <c r="J13" s="7">
        <v>2.2200000000000002</v>
      </c>
    </row>
    <row r="14" spans="1:10" x14ac:dyDescent="0.2">
      <c r="A14" s="4" t="s">
        <v>36</v>
      </c>
      <c r="B14" s="27">
        <v>2.15</v>
      </c>
      <c r="C14" s="28">
        <v>1</v>
      </c>
      <c r="E14" s="4" t="s">
        <v>37</v>
      </c>
      <c r="F14" s="27">
        <f>(4.69+2.99+2.68+6.48+4.27+1.08+2.86+2.02+2.59+3.24+2.04+2.88+1.9+2.61+3.12+2.58+2.47+7.48+2.96+5.1+3.3+1.63)/22</f>
        <v>3.2259090909090911</v>
      </c>
      <c r="G14" s="28">
        <v>22</v>
      </c>
      <c r="I14" s="6" t="s">
        <v>41</v>
      </c>
      <c r="J14" s="7">
        <v>4.38</v>
      </c>
    </row>
    <row r="15" spans="1:10" x14ac:dyDescent="0.2">
      <c r="A15" s="4" t="s">
        <v>39</v>
      </c>
      <c r="B15" s="24">
        <v>2</v>
      </c>
      <c r="C15" s="6">
        <v>1</v>
      </c>
      <c r="E15" s="4" t="s">
        <v>40</v>
      </c>
      <c r="F15" s="5" t="s">
        <v>14</v>
      </c>
      <c r="G15" s="6">
        <v>0</v>
      </c>
      <c r="I15" s="6" t="s">
        <v>44</v>
      </c>
      <c r="J15" s="7">
        <v>3.96</v>
      </c>
    </row>
    <row r="16" spans="1:10" x14ac:dyDescent="0.2">
      <c r="A16" s="4" t="s">
        <v>42</v>
      </c>
      <c r="B16" s="24">
        <f>(4.99+3.41+5.59)/3</f>
        <v>4.6633333333333331</v>
      </c>
      <c r="C16" s="6">
        <v>3</v>
      </c>
      <c r="E16" s="4" t="s">
        <v>43</v>
      </c>
      <c r="F16" s="5">
        <v>3.97</v>
      </c>
      <c r="G16" s="6">
        <v>1</v>
      </c>
      <c r="I16" s="6" t="s">
        <v>47</v>
      </c>
      <c r="J16" s="7">
        <v>3.57</v>
      </c>
    </row>
    <row r="17" spans="1:10" x14ac:dyDescent="0.2">
      <c r="A17" s="4" t="s">
        <v>45</v>
      </c>
      <c r="B17" s="27">
        <v>2.41</v>
      </c>
      <c r="C17" s="28">
        <v>1</v>
      </c>
      <c r="E17" s="4" t="s">
        <v>46</v>
      </c>
      <c r="F17" s="27">
        <f>(5.74+4.51+3.55+3.07+2.28+5.19+7.78+2.39+9.6)/9</f>
        <v>4.9011111111111116</v>
      </c>
      <c r="G17" s="28">
        <v>9</v>
      </c>
      <c r="I17" s="6" t="s">
        <v>50</v>
      </c>
      <c r="J17" s="7">
        <v>3.5</v>
      </c>
    </row>
    <row r="18" spans="1:10" x14ac:dyDescent="0.2">
      <c r="A18" s="4" t="s">
        <v>48</v>
      </c>
      <c r="B18" s="27" t="s">
        <v>14</v>
      </c>
      <c r="C18" s="28">
        <v>0</v>
      </c>
      <c r="E18" s="4" t="s">
        <v>49</v>
      </c>
      <c r="F18" s="27">
        <f>(1.97+1.13+3.02+0.15+1.47+1.53+2.19+0.49+0.75+1.27+0.29+0.35+0.87+0.44+1.14+0.07+1.25+0.67+8.57+0.3+0.82+1.65+0.1+0)/24</f>
        <v>1.2704166666666665</v>
      </c>
      <c r="G18" s="28">
        <v>24</v>
      </c>
      <c r="I18" s="6" t="s">
        <v>53</v>
      </c>
      <c r="J18" s="7">
        <v>5.38</v>
      </c>
    </row>
    <row r="19" spans="1:10" x14ac:dyDescent="0.2">
      <c r="A19" s="4" t="s">
        <v>51</v>
      </c>
      <c r="B19" s="24" t="s">
        <v>14</v>
      </c>
      <c r="C19" s="6">
        <v>0</v>
      </c>
      <c r="E19" s="4" t="s">
        <v>52</v>
      </c>
      <c r="F19" s="5">
        <f>(4.05+2.76+0.89)/3</f>
        <v>2.5666666666666664</v>
      </c>
      <c r="G19" s="6">
        <v>3</v>
      </c>
      <c r="I19" s="6" t="s">
        <v>56</v>
      </c>
      <c r="J19" s="7">
        <v>4.12</v>
      </c>
    </row>
    <row r="20" spans="1:10" x14ac:dyDescent="0.2">
      <c r="A20" s="4" t="s">
        <v>54</v>
      </c>
      <c r="B20" s="24">
        <f>(2.02+4.18+4.09+4.98+3.97+4.19)/6</f>
        <v>3.9049999999999998</v>
      </c>
      <c r="C20" s="6">
        <v>6</v>
      </c>
      <c r="E20" s="4" t="s">
        <v>55</v>
      </c>
      <c r="F20" s="5">
        <f>(1.99+2.19+2.92+1.09)/4</f>
        <v>2.0474999999999999</v>
      </c>
      <c r="G20" s="6">
        <v>4</v>
      </c>
      <c r="I20" s="6" t="s">
        <v>59</v>
      </c>
      <c r="J20" s="7">
        <v>3.62</v>
      </c>
    </row>
    <row r="21" spans="1:10" ht="15.75" customHeight="1" x14ac:dyDescent="0.2">
      <c r="A21" s="4" t="s">
        <v>57</v>
      </c>
      <c r="B21" s="27" t="s">
        <v>14</v>
      </c>
      <c r="C21" s="28">
        <v>0</v>
      </c>
      <c r="E21" s="4" t="s">
        <v>58</v>
      </c>
      <c r="F21" s="27">
        <f>(1.97+3.9+3.84+8.36+2.69+7.55+0.89)/7</f>
        <v>4.1714285714285717</v>
      </c>
      <c r="G21" s="28">
        <v>7</v>
      </c>
      <c r="I21" s="6" t="s">
        <v>62</v>
      </c>
      <c r="J21" s="7">
        <v>4.3099999999999996</v>
      </c>
    </row>
    <row r="22" spans="1:10" ht="15.75" customHeight="1" x14ac:dyDescent="0.2">
      <c r="A22" s="4" t="s">
        <v>60</v>
      </c>
      <c r="B22" s="27" t="s">
        <v>14</v>
      </c>
      <c r="C22" s="28">
        <v>0</v>
      </c>
      <c r="E22" s="4" t="s">
        <v>61</v>
      </c>
      <c r="F22" s="27" t="s">
        <v>14</v>
      </c>
      <c r="G22" s="28">
        <v>0</v>
      </c>
      <c r="I22" s="6" t="s">
        <v>65</v>
      </c>
      <c r="J22" s="7">
        <v>3.36</v>
      </c>
    </row>
    <row r="23" spans="1:10" ht="15.75" customHeight="1" x14ac:dyDescent="0.2">
      <c r="A23" s="4" t="s">
        <v>63</v>
      </c>
      <c r="B23" s="24">
        <v>0.77</v>
      </c>
      <c r="C23" s="6">
        <v>1</v>
      </c>
      <c r="E23" s="4" t="s">
        <v>64</v>
      </c>
      <c r="F23" s="5" t="s">
        <v>14</v>
      </c>
      <c r="G23" s="6">
        <v>0</v>
      </c>
      <c r="I23" s="6" t="s">
        <v>68</v>
      </c>
      <c r="J23" s="7">
        <v>4.25</v>
      </c>
    </row>
    <row r="24" spans="1:10" ht="15.75" customHeight="1" x14ac:dyDescent="0.2">
      <c r="A24" s="4" t="s">
        <v>66</v>
      </c>
      <c r="B24" s="24" t="s">
        <v>14</v>
      </c>
      <c r="C24" s="6">
        <v>0</v>
      </c>
      <c r="E24" s="4" t="s">
        <v>67</v>
      </c>
      <c r="F24" s="5" t="s">
        <v>14</v>
      </c>
      <c r="G24" s="6">
        <v>0</v>
      </c>
      <c r="I24" s="6" t="s">
        <v>71</v>
      </c>
      <c r="J24" s="7">
        <v>4.17</v>
      </c>
    </row>
    <row r="25" spans="1:10" ht="15.75" customHeight="1" x14ac:dyDescent="0.2">
      <c r="A25" s="4" t="s">
        <v>69</v>
      </c>
      <c r="B25" s="27">
        <f>(2.21+2.2+2.61)/3</f>
        <v>2.34</v>
      </c>
      <c r="C25" s="28">
        <v>3</v>
      </c>
      <c r="E25" s="4" t="s">
        <v>70</v>
      </c>
      <c r="F25" s="27">
        <v>4.78</v>
      </c>
      <c r="G25" s="28">
        <v>1</v>
      </c>
      <c r="I25" s="6" t="s">
        <v>74</v>
      </c>
      <c r="J25" s="7">
        <v>4.33</v>
      </c>
    </row>
    <row r="26" spans="1:10" ht="15.75" customHeight="1" x14ac:dyDescent="0.2">
      <c r="A26" s="4" t="s">
        <v>72</v>
      </c>
      <c r="B26" s="27" t="s">
        <v>14</v>
      </c>
      <c r="C26" s="28">
        <v>0</v>
      </c>
      <c r="E26" s="4" t="s">
        <v>73</v>
      </c>
      <c r="F26" s="27">
        <f>(1.7+1.53)/2</f>
        <v>1.615</v>
      </c>
      <c r="G26" s="28">
        <v>2</v>
      </c>
      <c r="I26" s="6" t="s">
        <v>77</v>
      </c>
      <c r="J26" s="7">
        <v>3.88</v>
      </c>
    </row>
    <row r="27" spans="1:10" ht="15.75" customHeight="1" x14ac:dyDescent="0.2">
      <c r="A27" s="4" t="s">
        <v>75</v>
      </c>
      <c r="B27" s="24">
        <v>0.65</v>
      </c>
      <c r="C27" s="6">
        <v>1</v>
      </c>
      <c r="E27" s="4" t="s">
        <v>76</v>
      </c>
      <c r="F27" s="5">
        <f>(3.34+1.28+3.68+1.45+2.33+2.09)/6</f>
        <v>2.3616666666666668</v>
      </c>
      <c r="G27" s="6">
        <v>6</v>
      </c>
      <c r="I27" s="6" t="s">
        <v>80</v>
      </c>
      <c r="J27" s="7">
        <v>3.27</v>
      </c>
    </row>
    <row r="28" spans="1:10" ht="15.75" customHeight="1" x14ac:dyDescent="0.2">
      <c r="A28" s="4" t="s">
        <v>78</v>
      </c>
      <c r="B28" s="24">
        <f>(3.97+4.97+3.27+2.21+3.37+4.17+5.31)/7</f>
        <v>3.8957142857142855</v>
      </c>
      <c r="C28" s="6">
        <v>7</v>
      </c>
      <c r="E28" s="4" t="s">
        <v>79</v>
      </c>
      <c r="F28" s="5">
        <f>(3.28+3.2+3.02+2.05+2.76+2.74+2.55+3.77+3.8+2.37+2.67+3.52+2.09+4.96)/14</f>
        <v>3.0557142857142865</v>
      </c>
      <c r="G28" s="6">
        <v>14</v>
      </c>
      <c r="I28" s="6" t="s">
        <v>83</v>
      </c>
      <c r="J28" s="7">
        <v>3.31</v>
      </c>
    </row>
    <row r="29" spans="1:10" ht="15.75" customHeight="1" x14ac:dyDescent="0.2">
      <c r="A29" s="4" t="s">
        <v>81</v>
      </c>
      <c r="B29" s="27">
        <f>(1.55+2.14+1.89+1.09)/4</f>
        <v>1.6675</v>
      </c>
      <c r="C29" s="28">
        <v>4</v>
      </c>
      <c r="E29" s="4" t="s">
        <v>82</v>
      </c>
      <c r="F29" s="27" t="s">
        <v>14</v>
      </c>
      <c r="G29" s="28">
        <v>0</v>
      </c>
      <c r="I29" s="6" t="s">
        <v>86</v>
      </c>
      <c r="J29" s="7">
        <v>4.26</v>
      </c>
    </row>
    <row r="30" spans="1:10" ht="15.75" customHeight="1" x14ac:dyDescent="0.2">
      <c r="A30" s="4" t="s">
        <v>84</v>
      </c>
      <c r="B30" s="27">
        <f>(1.52+2.36)/2</f>
        <v>1.94</v>
      </c>
      <c r="C30" s="28">
        <v>2</v>
      </c>
      <c r="E30" s="4" t="s">
        <v>85</v>
      </c>
      <c r="F30" s="27">
        <f>(2.13+2.35)/2</f>
        <v>2.2400000000000002</v>
      </c>
      <c r="G30" s="28">
        <v>2</v>
      </c>
      <c r="I30" s="6" t="s">
        <v>89</v>
      </c>
      <c r="J30" s="7">
        <v>3.71</v>
      </c>
    </row>
    <row r="31" spans="1:10" ht="15.75" customHeight="1" x14ac:dyDescent="0.2">
      <c r="A31" s="4" t="s">
        <v>87</v>
      </c>
      <c r="B31" s="24">
        <f>(1.67+2.23+0.92)/3</f>
        <v>1.6066666666666667</v>
      </c>
      <c r="C31" s="6">
        <v>3</v>
      </c>
      <c r="E31" s="4" t="s">
        <v>88</v>
      </c>
      <c r="F31" s="5">
        <v>2.15</v>
      </c>
      <c r="G31" s="6">
        <v>1</v>
      </c>
      <c r="I31" s="6" t="s">
        <v>91</v>
      </c>
      <c r="J31" s="7">
        <v>3.24</v>
      </c>
    </row>
    <row r="32" spans="1:10" ht="15.75" customHeight="1" x14ac:dyDescent="0.2">
      <c r="A32" s="4" t="s">
        <v>65</v>
      </c>
      <c r="B32" s="24">
        <v>2.13</v>
      </c>
      <c r="C32" s="6">
        <v>1</v>
      </c>
      <c r="E32" s="4" t="s">
        <v>90</v>
      </c>
      <c r="F32" s="5">
        <f>(1.64+1.85+1.17+2.32+2.4)/5</f>
        <v>1.8760000000000001</v>
      </c>
      <c r="G32" s="6">
        <v>5</v>
      </c>
      <c r="I32" s="6" t="s">
        <v>94</v>
      </c>
      <c r="J32" s="7">
        <v>4.05</v>
      </c>
    </row>
    <row r="33" spans="1:10" ht="15.75" customHeight="1" x14ac:dyDescent="0.2">
      <c r="A33" s="4" t="s">
        <v>92</v>
      </c>
      <c r="B33" s="27" t="s">
        <v>14</v>
      </c>
      <c r="C33" s="28">
        <v>0</v>
      </c>
      <c r="E33" s="4" t="s">
        <v>93</v>
      </c>
      <c r="F33" s="27">
        <f>(3.84+3.66)/2</f>
        <v>3.75</v>
      </c>
      <c r="G33" s="28">
        <v>2</v>
      </c>
      <c r="I33" s="6" t="s">
        <v>97</v>
      </c>
      <c r="J33" s="7">
        <v>3.64</v>
      </c>
    </row>
    <row r="34" spans="1:10" ht="15.75" customHeight="1" x14ac:dyDescent="0.2">
      <c r="A34" s="4" t="s">
        <v>95</v>
      </c>
      <c r="B34" s="27" t="s">
        <v>14</v>
      </c>
      <c r="C34" s="28">
        <v>0</v>
      </c>
      <c r="E34" s="4" t="s">
        <v>96</v>
      </c>
      <c r="F34" s="27">
        <v>1.21</v>
      </c>
      <c r="G34" s="28">
        <v>1</v>
      </c>
      <c r="I34" s="6" t="s">
        <v>100</v>
      </c>
      <c r="J34" s="7">
        <v>3.86</v>
      </c>
    </row>
    <row r="35" spans="1:10" ht="15.75" customHeight="1" x14ac:dyDescent="0.2">
      <c r="A35" s="4" t="s">
        <v>98</v>
      </c>
      <c r="B35" s="24" t="s">
        <v>14</v>
      </c>
      <c r="C35" s="6">
        <v>0</v>
      </c>
      <c r="E35" s="4" t="s">
        <v>99</v>
      </c>
      <c r="F35" s="5">
        <f>(3.29+0.65)/2</f>
        <v>1.97</v>
      </c>
      <c r="G35" s="6">
        <v>2</v>
      </c>
      <c r="I35" s="6" t="s">
        <v>103</v>
      </c>
      <c r="J35" s="7">
        <v>3.61</v>
      </c>
    </row>
    <row r="36" spans="1:10" ht="15.75" customHeight="1" x14ac:dyDescent="0.2">
      <c r="A36" s="4" t="s">
        <v>101</v>
      </c>
      <c r="B36" s="24" t="s">
        <v>14</v>
      </c>
      <c r="C36" s="6">
        <v>0</v>
      </c>
      <c r="E36" s="4" t="s">
        <v>102</v>
      </c>
      <c r="F36" s="5">
        <f>(3.02+3.33+3.11)/3</f>
        <v>3.1533333333333329</v>
      </c>
      <c r="G36" s="6">
        <v>3</v>
      </c>
      <c r="I36" s="6" t="s">
        <v>105</v>
      </c>
      <c r="J36" s="7">
        <v>3.34</v>
      </c>
    </row>
    <row r="37" spans="1:10" ht="15.75" customHeight="1" x14ac:dyDescent="0.2">
      <c r="A37" s="4" t="s">
        <v>104</v>
      </c>
      <c r="B37" s="27" t="s">
        <v>14</v>
      </c>
      <c r="C37" s="28">
        <v>0</v>
      </c>
      <c r="I37" s="6" t="s">
        <v>106</v>
      </c>
      <c r="J37" s="7">
        <v>4.05</v>
      </c>
    </row>
    <row r="38" spans="1:10" ht="15.75" customHeight="1" x14ac:dyDescent="0.2">
      <c r="I38" s="6" t="s">
        <v>107</v>
      </c>
      <c r="J38" s="7">
        <v>3.79</v>
      </c>
    </row>
    <row r="39" spans="1:10" ht="15.75" customHeight="1" x14ac:dyDescent="0.2">
      <c r="I39" s="6" t="s">
        <v>108</v>
      </c>
      <c r="J39" s="7">
        <v>3.96</v>
      </c>
    </row>
    <row r="40" spans="1:10" ht="15.75" customHeight="1" x14ac:dyDescent="0.2">
      <c r="I40" s="6" t="s">
        <v>109</v>
      </c>
      <c r="J40" s="7">
        <v>3.47</v>
      </c>
    </row>
    <row r="41" spans="1:10" ht="15.75" customHeight="1" x14ac:dyDescent="0.2">
      <c r="I41" s="6" t="s">
        <v>110</v>
      </c>
      <c r="J41" s="7">
        <v>4.12</v>
      </c>
    </row>
    <row r="42" spans="1:10" ht="15.75" customHeight="1" x14ac:dyDescent="0.2">
      <c r="I42" s="6" t="s">
        <v>111</v>
      </c>
      <c r="J42" s="7">
        <v>3.52</v>
      </c>
    </row>
    <row r="43" spans="1:10" ht="15.75" customHeight="1" x14ac:dyDescent="0.2">
      <c r="I43" s="6" t="s">
        <v>112</v>
      </c>
      <c r="J43" s="7">
        <v>3.46</v>
      </c>
    </row>
    <row r="44" spans="1:10" ht="15.75" customHeight="1" x14ac:dyDescent="0.2">
      <c r="I44" s="6" t="s">
        <v>113</v>
      </c>
      <c r="J44" s="7">
        <v>3.55</v>
      </c>
    </row>
    <row r="45" spans="1:10" ht="15.75" customHeight="1" x14ac:dyDescent="0.2">
      <c r="I45" s="6" t="s">
        <v>114</v>
      </c>
      <c r="J45" s="7">
        <v>3.37</v>
      </c>
    </row>
    <row r="46" spans="1:10" ht="15.75" customHeight="1" x14ac:dyDescent="0.2"/>
    <row r="47" spans="1:10" ht="15.75" customHeight="1" x14ac:dyDescent="0.2"/>
    <row r="48" spans="1:10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">
    <mergeCell ref="A1:H1"/>
    <mergeCell ref="A2:H2"/>
  </mergeCell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CoCoRAHS January 2022</vt:lpstr>
      <vt:lpstr>CoCoRAHS_February 2023</vt:lpstr>
      <vt:lpstr>CoCoRAHS_March 2023</vt:lpstr>
      <vt:lpstr>CoCoRAHS_April 2023</vt:lpstr>
      <vt:lpstr>CoCoRAHS_May 2023</vt:lpstr>
      <vt:lpstr>CoCoRAHS_June 2023</vt:lpstr>
      <vt:lpstr>CoCoRAHS_July 2023</vt:lpstr>
      <vt:lpstr>CoCoRAHS_August_2022</vt:lpstr>
      <vt:lpstr>CoCoRAHS_September 2022</vt:lpstr>
      <vt:lpstr>CoCoRAHS_October_2022</vt:lpstr>
      <vt:lpstr>CoCoRAHS_November_2022</vt:lpstr>
      <vt:lpstr>CoCoRAHS_December_2022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Whitney</dc:creator>
  <cp:lastModifiedBy>Jennifer Geary</cp:lastModifiedBy>
  <dcterms:created xsi:type="dcterms:W3CDTF">2015-02-02T17:41:55Z</dcterms:created>
  <dcterms:modified xsi:type="dcterms:W3CDTF">2023-08-24T15:46:21Z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e24fda99-2632-46da-8236-cfc975c5a77b</vt:lpwstr>
  </property>
</Properties>
</file>